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80" yWindow="648" windowWidth="13632" windowHeight="7428" activeTab="1"/>
  </bookViews>
  <sheets>
    <sheet name="RESUMEN EJECUTIVO" sheetId="7" r:id="rId1"/>
    <sheet name="PREVISION DE VENTAS " sheetId="3" r:id="rId2"/>
    <sheet name="GASTOS DE EXPLOTACION" sheetId="4" r:id="rId3"/>
    <sheet name="PREVISION DE TESORERIA Mensual " sheetId="5" r:id="rId4"/>
    <sheet name="PyG Mensual" sheetId="8" r:id="rId5"/>
    <sheet name="PyG Anual" sheetId="6" r:id="rId6"/>
    <sheet name="Amortizaciones" sheetId="9" r:id="rId7"/>
  </sheets>
  <calcPr calcId="144525"/>
</workbook>
</file>

<file path=xl/calcChain.xml><?xml version="1.0" encoding="utf-8"?>
<calcChain xmlns="http://schemas.openxmlformats.org/spreadsheetml/2006/main">
  <c r="D12" i="6" l="1"/>
  <c r="D10" i="6"/>
  <c r="D7" i="6"/>
  <c r="D6" i="6"/>
  <c r="D5" i="6"/>
  <c r="D4" i="6"/>
  <c r="C12" i="6" l="1"/>
  <c r="C10" i="6"/>
  <c r="C7" i="6"/>
  <c r="C6" i="6"/>
  <c r="C5" i="6"/>
  <c r="C4" i="6"/>
  <c r="G10" i="8" l="1"/>
  <c r="G7" i="8"/>
  <c r="G6" i="8"/>
  <c r="G5" i="8"/>
  <c r="G4" i="8"/>
  <c r="G9" i="8" s="1"/>
  <c r="F10" i="8"/>
  <c r="E10" i="8"/>
  <c r="D10" i="8"/>
  <c r="C10" i="8"/>
  <c r="F7" i="8"/>
  <c r="E7" i="8"/>
  <c r="D7" i="8"/>
  <c r="C7" i="8"/>
  <c r="F6" i="8"/>
  <c r="E6" i="8"/>
  <c r="D6" i="8"/>
  <c r="C6" i="8"/>
  <c r="F5" i="8"/>
  <c r="E5" i="8"/>
  <c r="D5" i="8"/>
  <c r="C5" i="8"/>
  <c r="F4" i="8"/>
  <c r="E4" i="8"/>
  <c r="D4" i="8"/>
  <c r="C4" i="8"/>
  <c r="G17" i="8" l="1"/>
  <c r="G11" i="8"/>
  <c r="G13" i="8" s="1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F5" i="4"/>
  <c r="E5" i="4"/>
  <c r="D5" i="4"/>
  <c r="C5" i="4"/>
  <c r="Q3" i="9"/>
  <c r="R8" i="8" s="1"/>
  <c r="P3" i="9"/>
  <c r="Q8" i="8" s="1"/>
  <c r="O3" i="9"/>
  <c r="P8" i="8" s="1"/>
  <c r="N3" i="9"/>
  <c r="O8" i="8" s="1"/>
  <c r="E3" i="9"/>
  <c r="F8" i="8" s="1"/>
  <c r="F9" i="8" s="1"/>
  <c r="D3" i="9"/>
  <c r="E8" i="8" s="1"/>
  <c r="E9" i="8" s="1"/>
  <c r="C3" i="9"/>
  <c r="D8" i="8" s="1"/>
  <c r="D9" i="8" s="1"/>
  <c r="B3" i="9"/>
  <c r="C8" i="8" s="1"/>
  <c r="C9" i="8" s="1"/>
  <c r="C17" i="8" s="1"/>
  <c r="E17" i="8" l="1"/>
  <c r="E11" i="8"/>
  <c r="E13" i="8" s="1"/>
  <c r="F17" i="8"/>
  <c r="F11" i="8"/>
  <c r="F13" i="8" s="1"/>
  <c r="F14" i="8" s="1"/>
  <c r="F16" i="8" s="1"/>
  <c r="D8" i="6"/>
  <c r="D17" i="8"/>
  <c r="D11" i="8"/>
  <c r="D13" i="8" s="1"/>
  <c r="D14" i="8" s="1"/>
  <c r="D16" i="8" s="1"/>
  <c r="C11" i="8"/>
  <c r="C9" i="6"/>
  <c r="C8" i="6"/>
  <c r="G14" i="8"/>
  <c r="G16" i="8" s="1"/>
  <c r="E14" i="8"/>
  <c r="E16" i="8" s="1"/>
  <c r="Z10" i="8"/>
  <c r="Y10" i="8"/>
  <c r="X10" i="8"/>
  <c r="W10" i="8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Z4" i="8"/>
  <c r="Y4" i="8"/>
  <c r="Y9" i="8" s="1"/>
  <c r="X4" i="8"/>
  <c r="W4" i="8"/>
  <c r="W9" i="8" s="1"/>
  <c r="V4" i="8"/>
  <c r="U4" i="8"/>
  <c r="U9" i="8" s="1"/>
  <c r="T4" i="8"/>
  <c r="S4" i="8"/>
  <c r="S9" i="8" s="1"/>
  <c r="R4" i="8"/>
  <c r="Q4" i="8"/>
  <c r="Q9" i="8" s="1"/>
  <c r="P4" i="8"/>
  <c r="O4" i="8"/>
  <c r="O9" i="8" s="1"/>
  <c r="N4" i="8"/>
  <c r="M4" i="8"/>
  <c r="M9" i="8" s="1"/>
  <c r="L4" i="8"/>
  <c r="K4" i="8"/>
  <c r="J4" i="8"/>
  <c r="I4" i="8"/>
  <c r="I9" i="8" s="1"/>
  <c r="H4" i="8"/>
  <c r="F12" i="7"/>
  <c r="E12" i="7"/>
  <c r="D12" i="7"/>
  <c r="C12" i="7"/>
  <c r="F11" i="7"/>
  <c r="E11" i="7"/>
  <c r="D11" i="7"/>
  <c r="C11" i="7"/>
  <c r="F10" i="7"/>
  <c r="E10" i="7"/>
  <c r="D10" i="7"/>
  <c r="C10" i="7"/>
  <c r="F9" i="7"/>
  <c r="E9" i="7"/>
  <c r="D9" i="7"/>
  <c r="C9" i="7"/>
  <c r="F8" i="7"/>
  <c r="E8" i="7"/>
  <c r="D8" i="7"/>
  <c r="C8" i="7"/>
  <c r="F7" i="7"/>
  <c r="E7" i="7"/>
  <c r="D7" i="7"/>
  <c r="C7" i="7"/>
  <c r="F6" i="7"/>
  <c r="E6" i="7"/>
  <c r="D6" i="7"/>
  <c r="C6" i="7"/>
  <c r="F5" i="7"/>
  <c r="E5" i="7"/>
  <c r="D5" i="7"/>
  <c r="C5" i="7"/>
  <c r="F4" i="7"/>
  <c r="E4" i="7"/>
  <c r="D4" i="7"/>
  <c r="C4" i="7"/>
  <c r="Z4" i="5"/>
  <c r="Y4" i="5"/>
  <c r="X4" i="5"/>
  <c r="W4" i="5"/>
  <c r="V4" i="5"/>
  <c r="U4" i="5"/>
  <c r="T4" i="5"/>
  <c r="S4" i="5"/>
  <c r="R4" i="5"/>
  <c r="Q4" i="5"/>
  <c r="P4" i="5"/>
  <c r="O4" i="5"/>
  <c r="O41" i="5"/>
  <c r="P40" i="5" s="1"/>
  <c r="O40" i="5"/>
  <c r="Z39" i="5"/>
  <c r="Y39" i="5"/>
  <c r="X39" i="5"/>
  <c r="W39" i="5"/>
  <c r="V39" i="5"/>
  <c r="U39" i="5"/>
  <c r="T39" i="5"/>
  <c r="S39" i="5"/>
  <c r="R39" i="5"/>
  <c r="Q39" i="5"/>
  <c r="P39" i="5"/>
  <c r="O39" i="5"/>
  <c r="Z38" i="5"/>
  <c r="Y38" i="5"/>
  <c r="X38" i="5"/>
  <c r="W38" i="5"/>
  <c r="V38" i="5"/>
  <c r="U38" i="5"/>
  <c r="T38" i="5"/>
  <c r="S38" i="5"/>
  <c r="R38" i="5"/>
  <c r="Q38" i="5"/>
  <c r="P38" i="5"/>
  <c r="O38" i="5"/>
  <c r="Z37" i="5"/>
  <c r="Y37" i="5"/>
  <c r="X37" i="5"/>
  <c r="W37" i="5"/>
  <c r="V37" i="5"/>
  <c r="U37" i="5"/>
  <c r="T37" i="5"/>
  <c r="S37" i="5"/>
  <c r="R37" i="5"/>
  <c r="Q37" i="5"/>
  <c r="P37" i="5"/>
  <c r="O37" i="5"/>
  <c r="Z36" i="5"/>
  <c r="Y36" i="5"/>
  <c r="X36" i="5"/>
  <c r="W36" i="5"/>
  <c r="V36" i="5"/>
  <c r="U36" i="5"/>
  <c r="T36" i="5"/>
  <c r="S36" i="5"/>
  <c r="R36" i="5"/>
  <c r="Q36" i="5"/>
  <c r="P36" i="5"/>
  <c r="O36" i="5"/>
  <c r="Z35" i="5"/>
  <c r="Y35" i="5"/>
  <c r="X35" i="5"/>
  <c r="W35" i="5"/>
  <c r="V35" i="5"/>
  <c r="U35" i="5"/>
  <c r="T35" i="5"/>
  <c r="S35" i="5"/>
  <c r="R35" i="5"/>
  <c r="Q35" i="5"/>
  <c r="P35" i="5"/>
  <c r="O35" i="5"/>
  <c r="Z32" i="5"/>
  <c r="Y32" i="5"/>
  <c r="X32" i="5"/>
  <c r="W32" i="5"/>
  <c r="V32" i="5"/>
  <c r="U32" i="5"/>
  <c r="T32" i="5"/>
  <c r="S32" i="5"/>
  <c r="R32" i="5"/>
  <c r="Q32" i="5"/>
  <c r="P32" i="5"/>
  <c r="O32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U28" i="5"/>
  <c r="R28" i="5"/>
  <c r="O28" i="5"/>
  <c r="C28" i="5"/>
  <c r="Z27" i="5"/>
  <c r="Y27" i="5"/>
  <c r="X27" i="5"/>
  <c r="W27" i="5"/>
  <c r="V27" i="5"/>
  <c r="U27" i="5"/>
  <c r="T27" i="5"/>
  <c r="S27" i="5"/>
  <c r="R27" i="5"/>
  <c r="Q27" i="5"/>
  <c r="P27" i="5"/>
  <c r="O27" i="5"/>
  <c r="Z25" i="5"/>
  <c r="Y25" i="5"/>
  <c r="X25" i="5"/>
  <c r="W25" i="5"/>
  <c r="V25" i="5"/>
  <c r="U25" i="5"/>
  <c r="T25" i="5"/>
  <c r="S25" i="5"/>
  <c r="R25" i="5"/>
  <c r="Q25" i="5"/>
  <c r="P25" i="5"/>
  <c r="O25" i="5"/>
  <c r="Z23" i="5"/>
  <c r="Y23" i="5"/>
  <c r="X23" i="5"/>
  <c r="W23" i="5"/>
  <c r="V23" i="5"/>
  <c r="U23" i="5"/>
  <c r="T23" i="5"/>
  <c r="S23" i="5"/>
  <c r="R23" i="5"/>
  <c r="Q23" i="5"/>
  <c r="P23" i="5"/>
  <c r="O23" i="5"/>
  <c r="O21" i="5"/>
  <c r="C21" i="5"/>
  <c r="Z19" i="5"/>
  <c r="Y19" i="5"/>
  <c r="X19" i="5"/>
  <c r="W19" i="5"/>
  <c r="V19" i="5"/>
  <c r="U19" i="5"/>
  <c r="T19" i="5"/>
  <c r="S19" i="5"/>
  <c r="R19" i="5"/>
  <c r="Q19" i="5"/>
  <c r="P19" i="5"/>
  <c r="O19" i="5"/>
  <c r="Z18" i="5"/>
  <c r="Y18" i="5"/>
  <c r="X18" i="5"/>
  <c r="W18" i="5"/>
  <c r="V18" i="5"/>
  <c r="U18" i="5"/>
  <c r="T18" i="5"/>
  <c r="S18" i="5"/>
  <c r="R18" i="5"/>
  <c r="Q18" i="5"/>
  <c r="P18" i="5"/>
  <c r="O18" i="5"/>
  <c r="M38" i="5"/>
  <c r="L38" i="5"/>
  <c r="K38" i="5"/>
  <c r="J38" i="5"/>
  <c r="I38" i="5"/>
  <c r="H38" i="5"/>
  <c r="G38" i="5"/>
  <c r="F38" i="5"/>
  <c r="E38" i="5"/>
  <c r="D38" i="5"/>
  <c r="C38" i="5"/>
  <c r="P26" i="5"/>
  <c r="O26" i="5"/>
  <c r="Z11" i="5"/>
  <c r="Y11" i="5"/>
  <c r="X11" i="5"/>
  <c r="W11" i="5"/>
  <c r="V11" i="5"/>
  <c r="U11" i="5"/>
  <c r="T11" i="5"/>
  <c r="S11" i="5"/>
  <c r="R11" i="5"/>
  <c r="Q11" i="5"/>
  <c r="P11" i="5"/>
  <c r="O11" i="5"/>
  <c r="N37" i="5"/>
  <c r="N38" i="5" s="1"/>
  <c r="M37" i="5"/>
  <c r="L37" i="5"/>
  <c r="K37" i="5"/>
  <c r="J37" i="5"/>
  <c r="I37" i="5"/>
  <c r="H37" i="5"/>
  <c r="G37" i="5"/>
  <c r="F37" i="5"/>
  <c r="E37" i="5"/>
  <c r="D37" i="5"/>
  <c r="C37" i="5"/>
  <c r="N36" i="5"/>
  <c r="M36" i="5"/>
  <c r="L36" i="5"/>
  <c r="K36" i="5"/>
  <c r="J36" i="5"/>
  <c r="I36" i="5"/>
  <c r="H36" i="5"/>
  <c r="G36" i="5"/>
  <c r="F36" i="5"/>
  <c r="E36" i="5"/>
  <c r="D36" i="5"/>
  <c r="C36" i="5"/>
  <c r="N11" i="5"/>
  <c r="M11" i="5"/>
  <c r="M39" i="5" s="1"/>
  <c r="L11" i="5"/>
  <c r="K11" i="5"/>
  <c r="K39" i="5" s="1"/>
  <c r="J11" i="5"/>
  <c r="I11" i="5"/>
  <c r="I39" i="5" s="1"/>
  <c r="H11" i="5"/>
  <c r="G11" i="5"/>
  <c r="G39" i="5" s="1"/>
  <c r="F11" i="5"/>
  <c r="E11" i="5"/>
  <c r="E39" i="5" s="1"/>
  <c r="D11" i="5"/>
  <c r="N39" i="5"/>
  <c r="L39" i="5"/>
  <c r="J39" i="5"/>
  <c r="H39" i="5"/>
  <c r="F39" i="5"/>
  <c r="D39" i="5"/>
  <c r="C11" i="5"/>
  <c r="N35" i="5"/>
  <c r="M35" i="5"/>
  <c r="L35" i="5"/>
  <c r="K35" i="5"/>
  <c r="J35" i="5"/>
  <c r="I35" i="5"/>
  <c r="H35" i="5"/>
  <c r="G35" i="5"/>
  <c r="F35" i="5"/>
  <c r="E35" i="5"/>
  <c r="D35" i="5"/>
  <c r="C35" i="5"/>
  <c r="C39" i="5" s="1"/>
  <c r="N32" i="5"/>
  <c r="M32" i="5"/>
  <c r="L32" i="5"/>
  <c r="K32" i="5"/>
  <c r="J32" i="5"/>
  <c r="I32" i="5"/>
  <c r="H32" i="5"/>
  <c r="G32" i="5"/>
  <c r="F32" i="5"/>
  <c r="E32" i="5"/>
  <c r="D32" i="5"/>
  <c r="C32" i="5"/>
  <c r="M31" i="5"/>
  <c r="L31" i="5"/>
  <c r="K31" i="5"/>
  <c r="J31" i="5"/>
  <c r="I31" i="5"/>
  <c r="H31" i="5"/>
  <c r="G31" i="5"/>
  <c r="F31" i="5"/>
  <c r="E31" i="5"/>
  <c r="D31" i="5"/>
  <c r="C31" i="5"/>
  <c r="H29" i="5"/>
  <c r="G29" i="5"/>
  <c r="F29" i="5"/>
  <c r="E29" i="5"/>
  <c r="D29" i="5"/>
  <c r="C29" i="5"/>
  <c r="I28" i="5"/>
  <c r="F28" i="5"/>
  <c r="N27" i="5"/>
  <c r="M27" i="5"/>
  <c r="L27" i="5"/>
  <c r="K27" i="5"/>
  <c r="J27" i="5"/>
  <c r="I27" i="5"/>
  <c r="H27" i="5"/>
  <c r="G27" i="5"/>
  <c r="F27" i="5"/>
  <c r="E27" i="5"/>
  <c r="D27" i="5"/>
  <c r="C27" i="5"/>
  <c r="D26" i="5"/>
  <c r="C26" i="5"/>
  <c r="N25" i="5"/>
  <c r="M25" i="5"/>
  <c r="L25" i="5"/>
  <c r="K25" i="5"/>
  <c r="J25" i="5"/>
  <c r="I25" i="5"/>
  <c r="H25" i="5"/>
  <c r="G25" i="5"/>
  <c r="F25" i="5"/>
  <c r="E25" i="5"/>
  <c r="D25" i="5"/>
  <c r="C25" i="5"/>
  <c r="C24" i="5"/>
  <c r="N23" i="5"/>
  <c r="M23" i="5"/>
  <c r="L23" i="5"/>
  <c r="K23" i="5"/>
  <c r="J23" i="5"/>
  <c r="I23" i="5"/>
  <c r="H23" i="5"/>
  <c r="G23" i="5"/>
  <c r="F23" i="5"/>
  <c r="E23" i="5"/>
  <c r="D23" i="5"/>
  <c r="C23" i="5"/>
  <c r="N19" i="5"/>
  <c r="M19" i="5"/>
  <c r="L19" i="5"/>
  <c r="K19" i="5"/>
  <c r="J19" i="5"/>
  <c r="I19" i="5"/>
  <c r="H19" i="5"/>
  <c r="G19" i="5"/>
  <c r="F19" i="5"/>
  <c r="E19" i="5"/>
  <c r="D19" i="5"/>
  <c r="C19" i="5"/>
  <c r="N18" i="5"/>
  <c r="M18" i="5"/>
  <c r="L18" i="5"/>
  <c r="K18" i="5"/>
  <c r="J18" i="5"/>
  <c r="I18" i="5"/>
  <c r="H18" i="5"/>
  <c r="G18" i="5"/>
  <c r="F18" i="5"/>
  <c r="E18" i="5"/>
  <c r="D18" i="5"/>
  <c r="C18" i="5"/>
  <c r="F23" i="4"/>
  <c r="F21" i="4"/>
  <c r="F14" i="4"/>
  <c r="F12" i="4"/>
  <c r="F11" i="4"/>
  <c r="F9" i="4"/>
  <c r="F8" i="4"/>
  <c r="F7" i="4"/>
  <c r="E12" i="4"/>
  <c r="E23" i="4"/>
  <c r="E21" i="4"/>
  <c r="E14" i="4"/>
  <c r="E11" i="4"/>
  <c r="E9" i="4"/>
  <c r="E8" i="4"/>
  <c r="E7" i="4"/>
  <c r="D14" i="4"/>
  <c r="D12" i="4"/>
  <c r="D11" i="4"/>
  <c r="D9" i="4"/>
  <c r="D8" i="4"/>
  <c r="C10" i="4"/>
  <c r="C13" i="8" l="1"/>
  <c r="C11" i="6"/>
  <c r="J9" i="8"/>
  <c r="J17" i="8" s="1"/>
  <c r="N9" i="8"/>
  <c r="R9" i="8"/>
  <c r="R17" i="8" s="1"/>
  <c r="V9" i="8"/>
  <c r="Z9" i="8"/>
  <c r="Z17" i="8" s="1"/>
  <c r="H9" i="8"/>
  <c r="L9" i="8"/>
  <c r="P9" i="8"/>
  <c r="P17" i="8" s="1"/>
  <c r="T9" i="8"/>
  <c r="X9" i="8"/>
  <c r="K9" i="8"/>
  <c r="K17" i="8" s="1"/>
  <c r="O11" i="8"/>
  <c r="O17" i="8"/>
  <c r="S17" i="8"/>
  <c r="S11" i="8"/>
  <c r="S13" i="8" s="1"/>
  <c r="W17" i="8"/>
  <c r="W11" i="8"/>
  <c r="W13" i="8" s="1"/>
  <c r="H17" i="8"/>
  <c r="H11" i="8"/>
  <c r="H13" i="8" s="1"/>
  <c r="L11" i="8"/>
  <c r="L13" i="8" s="1"/>
  <c r="L17" i="8"/>
  <c r="T17" i="8"/>
  <c r="T11" i="8"/>
  <c r="T13" i="8" s="1"/>
  <c r="X17" i="8"/>
  <c r="X11" i="8"/>
  <c r="X13" i="8" s="1"/>
  <c r="I17" i="8"/>
  <c r="I11" i="8"/>
  <c r="I13" i="8" s="1"/>
  <c r="M17" i="8"/>
  <c r="M11" i="8"/>
  <c r="M13" i="8" s="1"/>
  <c r="Q17" i="8"/>
  <c r="Q11" i="8"/>
  <c r="Q13" i="8" s="1"/>
  <c r="U17" i="8"/>
  <c r="U11" i="8"/>
  <c r="U13" i="8" s="1"/>
  <c r="Y17" i="8"/>
  <c r="Y11" i="8"/>
  <c r="Y13" i="8" s="1"/>
  <c r="N17" i="8"/>
  <c r="N11" i="8"/>
  <c r="N13" i="8" s="1"/>
  <c r="V17" i="8"/>
  <c r="V11" i="8"/>
  <c r="V13" i="8" s="1"/>
  <c r="P41" i="5"/>
  <c r="C41" i="5"/>
  <c r="C40" i="5"/>
  <c r="D40" i="5" s="1"/>
  <c r="O13" i="8" l="1"/>
  <c r="O14" i="8" s="1"/>
  <c r="C13" i="6"/>
  <c r="C14" i="8"/>
  <c r="R11" i="8"/>
  <c r="R13" i="8" s="1"/>
  <c r="D9" i="6"/>
  <c r="Z11" i="8"/>
  <c r="Z13" i="8" s="1"/>
  <c r="Z14" i="8" s="1"/>
  <c r="Z16" i="8" s="1"/>
  <c r="J11" i="8"/>
  <c r="J13" i="8" s="1"/>
  <c r="P11" i="8"/>
  <c r="P13" i="8" s="1"/>
  <c r="P14" i="8" s="1"/>
  <c r="P16" i="8" s="1"/>
  <c r="K11" i="8"/>
  <c r="K13" i="8" s="1"/>
  <c r="N14" i="8"/>
  <c r="N16" i="8" s="1"/>
  <c r="Q14" i="8"/>
  <c r="Q16" i="8" s="1"/>
  <c r="R14" i="8"/>
  <c r="R16" i="8" s="1"/>
  <c r="J14" i="8"/>
  <c r="J16" i="8" s="1"/>
  <c r="U14" i="8"/>
  <c r="U16" i="8" s="1"/>
  <c r="M14" i="8"/>
  <c r="M16" i="8" s="1"/>
  <c r="X14" i="8"/>
  <c r="X16" i="8" s="1"/>
  <c r="H14" i="8"/>
  <c r="H16" i="8" s="1"/>
  <c r="S14" i="8"/>
  <c r="S16" i="8" s="1"/>
  <c r="K14" i="8"/>
  <c r="K16" i="8" s="1"/>
  <c r="V14" i="8"/>
  <c r="V16" i="8" s="1"/>
  <c r="Y14" i="8"/>
  <c r="Y16" i="8" s="1"/>
  <c r="I14" i="8"/>
  <c r="I16" i="8" s="1"/>
  <c r="T14" i="8"/>
  <c r="T16" i="8" s="1"/>
  <c r="W14" i="8"/>
  <c r="W16" i="8" s="1"/>
  <c r="L14" i="8"/>
  <c r="L16" i="8" s="1"/>
  <c r="Q41" i="5"/>
  <c r="Q40" i="5"/>
  <c r="D4" i="5"/>
  <c r="D41" i="5"/>
  <c r="E40" i="5" s="1"/>
  <c r="D11" i="6" l="1"/>
  <c r="O16" i="8"/>
  <c r="D16" i="6" s="1"/>
  <c r="D14" i="6"/>
  <c r="C16" i="8"/>
  <c r="C16" i="6" s="1"/>
  <c r="C14" i="6"/>
  <c r="D13" i="6"/>
  <c r="R41" i="5"/>
  <c r="R40" i="5"/>
  <c r="E4" i="5"/>
  <c r="E41" i="5"/>
  <c r="F40" i="5" s="1"/>
  <c r="S41" i="5" l="1"/>
  <c r="S40" i="5"/>
  <c r="F41" i="5"/>
  <c r="G40" i="5" s="1"/>
  <c r="F4" i="5"/>
  <c r="T41" i="5" l="1"/>
  <c r="T40" i="5"/>
  <c r="G41" i="5"/>
  <c r="H40" i="5" s="1"/>
  <c r="G4" i="5"/>
  <c r="E13" i="3"/>
  <c r="E12" i="3"/>
  <c r="U41" i="5" l="1"/>
  <c r="U40" i="5"/>
  <c r="H41" i="5"/>
  <c r="I40" i="5" s="1"/>
  <c r="H4" i="5"/>
  <c r="D13" i="3"/>
  <c r="D12" i="3"/>
  <c r="C13" i="3"/>
  <c r="C12" i="3"/>
  <c r="V41" i="5" l="1"/>
  <c r="V40" i="5"/>
  <c r="I41" i="5"/>
  <c r="J40" i="5" s="1"/>
  <c r="I4" i="5"/>
  <c r="W41" i="5" l="1"/>
  <c r="W40" i="5"/>
  <c r="J41" i="5"/>
  <c r="K40" i="5" s="1"/>
  <c r="J4" i="5"/>
  <c r="C13" i="4"/>
  <c r="X40" i="5" l="1"/>
  <c r="X41" i="5"/>
  <c r="K41" i="5"/>
  <c r="L40" i="5" s="1"/>
  <c r="K4" i="5"/>
  <c r="Y41" i="5" l="1"/>
  <c r="Y40" i="5"/>
  <c r="L41" i="5"/>
  <c r="M40" i="5" s="1"/>
  <c r="L4" i="5"/>
  <c r="Z41" i="5" l="1"/>
  <c r="Z40" i="5"/>
  <c r="M41" i="5"/>
  <c r="N40" i="5" s="1"/>
  <c r="M4" i="5"/>
  <c r="N41" i="5" l="1"/>
  <c r="N4" i="5"/>
</calcChain>
</file>

<file path=xl/sharedStrings.xml><?xml version="1.0" encoding="utf-8"?>
<sst xmlns="http://schemas.openxmlformats.org/spreadsheetml/2006/main" count="183" uniqueCount="87">
  <si>
    <t>Importe</t>
  </si>
  <si>
    <t>Producto / Servicio</t>
  </si>
  <si>
    <t>Unidades</t>
  </si>
  <si>
    <t>Precio venta/ unidad</t>
  </si>
  <si>
    <t>Consumos/unidad</t>
  </si>
  <si>
    <t>Consumos total</t>
  </si>
  <si>
    <t>Consumo sobre ventas (%)</t>
  </si>
  <si>
    <t>TOTAL VENTAS</t>
  </si>
  <si>
    <t>TOTAL CONSUMOS</t>
  </si>
  <si>
    <t>Otros gastos de expotación:</t>
  </si>
  <si>
    <t>Gastos en I+D del ejercicio</t>
  </si>
  <si>
    <t>Arrendamientos y cánones</t>
  </si>
  <si>
    <t>Reparaciones y conservación</t>
  </si>
  <si>
    <t>Servicios de profesionales independientes</t>
  </si>
  <si>
    <t>Transportes</t>
  </si>
  <si>
    <t>Primas de seguros</t>
  </si>
  <si>
    <t>Servicios bancarios y similares</t>
  </si>
  <si>
    <t>Publicidad y relaciones públicas</t>
  </si>
  <si>
    <t>Suministros</t>
  </si>
  <si>
    <t>Comunicaciones</t>
  </si>
  <si>
    <t>Otros Tributos ( IBI, IAE, IVTM, etc)</t>
  </si>
  <si>
    <t>Otros servicios (Gastos de viaje, formación)</t>
  </si>
  <si>
    <t>Gastos de personal contratado</t>
  </si>
  <si>
    <t>Sueldos y salarios</t>
  </si>
  <si>
    <t>Seguridad Social</t>
  </si>
  <si>
    <t>Gastos de personal no laboral</t>
  </si>
  <si>
    <t>Retribuciones</t>
  </si>
  <si>
    <t>(1)Saldo inicial</t>
  </si>
  <si>
    <t>Cobros</t>
  </si>
  <si>
    <t>Cobros clientes /ventas</t>
  </si>
  <si>
    <t>Subvenciones</t>
  </si>
  <si>
    <t>Capital / Recursos propios</t>
  </si>
  <si>
    <t>Préstamos</t>
  </si>
  <si>
    <t>Otra financiación</t>
  </si>
  <si>
    <t>(2) Total cobros</t>
  </si>
  <si>
    <t xml:space="preserve">Pagos </t>
  </si>
  <si>
    <t>Inversiones</t>
  </si>
  <si>
    <t>Pagos a proveedores</t>
  </si>
  <si>
    <t>Otros proveedores</t>
  </si>
  <si>
    <t>Sueldos y salarios (Netos) de personal contratado</t>
  </si>
  <si>
    <t>Seguridad social de personal contratado</t>
  </si>
  <si>
    <t>Retribuciones de personal no contratado</t>
  </si>
  <si>
    <t>Seguros sociales de personal no laboral</t>
  </si>
  <si>
    <t>IRPF</t>
  </si>
  <si>
    <t>Otros tributos (IBI, IAE, IVTM, etc)</t>
  </si>
  <si>
    <t>Publicidad propaganda y relaciones públicas</t>
  </si>
  <si>
    <t>Gastos en I + D del ejercicio</t>
  </si>
  <si>
    <t>Otros servicios (Gastos de viajes, formación, etc)</t>
  </si>
  <si>
    <t>Gastos financieros de préstamos créditos, etc</t>
  </si>
  <si>
    <t>Devolución de préstamos, créditos, etc</t>
  </si>
  <si>
    <t>Total pagos</t>
  </si>
  <si>
    <t>IVA repercutido</t>
  </si>
  <si>
    <t>IVA soportado</t>
  </si>
  <si>
    <t>Pago de IVA</t>
  </si>
  <si>
    <t>Diferencia COBROS - PAGOS</t>
  </si>
  <si>
    <t>SALDO ANTERIOR</t>
  </si>
  <si>
    <t>SALDO ACUMULADO</t>
  </si>
  <si>
    <t>Ventas</t>
  </si>
  <si>
    <t>Consumos</t>
  </si>
  <si>
    <t>Otros gastos de explotación</t>
  </si>
  <si>
    <t>Amortizaciones</t>
  </si>
  <si>
    <t>RTDO. DE EXPLOTACION</t>
  </si>
  <si>
    <t>Costes de personal no laboral</t>
  </si>
  <si>
    <t>BAII</t>
  </si>
  <si>
    <t>Gastos financieros</t>
  </si>
  <si>
    <t>BAI</t>
  </si>
  <si>
    <t>Tipo impositivo (%)</t>
  </si>
  <si>
    <t>Resultado</t>
  </si>
  <si>
    <t>CASH - FLOW</t>
  </si>
  <si>
    <t>MAYO</t>
  </si>
  <si>
    <t xml:space="preserve">JUNIO </t>
  </si>
  <si>
    <t>JULIO</t>
  </si>
  <si>
    <t>AGOSTO</t>
  </si>
  <si>
    <t>SEPTIEMBRE</t>
  </si>
  <si>
    <t>OCTUBRE</t>
  </si>
  <si>
    <t xml:space="preserve">NOVIEMBRE </t>
  </si>
  <si>
    <t>DICIEMBRE</t>
  </si>
  <si>
    <t xml:space="preserve">ENERO </t>
  </si>
  <si>
    <t>FEBRERO</t>
  </si>
  <si>
    <t xml:space="preserve">MARZO </t>
  </si>
  <si>
    <t>ABRIL</t>
  </si>
  <si>
    <t xml:space="preserve">INGRESOS </t>
  </si>
  <si>
    <t xml:space="preserve">GASTOS </t>
  </si>
  <si>
    <t>Fremium + Premium</t>
  </si>
  <si>
    <t>[0,8 - 1,8] €</t>
  </si>
  <si>
    <t>Impuestos</t>
  </si>
  <si>
    <t>Plataforma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</si>
</sst>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€&quot;_-;\-* #,##0\ &quot;€&quot;_-;_-* &quot;-&quot;??\ &quot;€&quot;_-;_-@_-"/>
    <numFmt numFmtId="165" formatCode="_-* #,##0\ _€_-;\-* #,##0\ _€_-;_-* &quot;-&quot;??\ _€_-;_-@_-"/>
    <numFmt numFmtId="166" formatCode="#,##0\ &quot;€&quot;"/>
    <numFmt numFmtId="167" formatCode="_-* #,##0.000\ &quot;€&quot;_-;\-* #,##0.000\ &quot;€&quot;_-;_-* &quot;-&quot;??\ &quot;€&quot;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u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5"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/>
    <xf numFmtId="165" fontId="0" fillId="0" borderId="4" xfId="3" applyNumberFormat="1" applyFont="1" applyBorder="1" applyAlignment="1">
      <alignment horizontal="center" vertical="center"/>
    </xf>
    <xf numFmtId="166" fontId="0" fillId="0" borderId="10" xfId="1" applyNumberFormat="1" applyFont="1" applyBorder="1" applyAlignment="1">
      <alignment horizontal="center" vertical="center"/>
    </xf>
    <xf numFmtId="166" fontId="0" fillId="5" borderId="18" xfId="1" applyNumberFormat="1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/>
    </xf>
    <xf numFmtId="0" fontId="7" fillId="6" borderId="14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7" fillId="6" borderId="16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164" fontId="8" fillId="4" borderId="7" xfId="0" applyNumberFormat="1" applyFont="1" applyFill="1" applyBorder="1" applyAlignment="1">
      <alignment horizontal="center" vertical="center"/>
    </xf>
    <xf numFmtId="164" fontId="8" fillId="4" borderId="9" xfId="0" applyNumberFormat="1" applyFont="1" applyFill="1" applyBorder="1" applyAlignment="1">
      <alignment horizontal="center" vertical="center"/>
    </xf>
    <xf numFmtId="164" fontId="8" fillId="4" borderId="10" xfId="0" applyNumberFormat="1" applyFont="1" applyFill="1" applyBorder="1" applyAlignment="1">
      <alignment horizontal="center" vertical="center"/>
    </xf>
    <xf numFmtId="164" fontId="8" fillId="4" borderId="12" xfId="0" applyNumberFormat="1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164" fontId="8" fillId="4" borderId="27" xfId="0" applyNumberFormat="1" applyFont="1" applyFill="1" applyBorder="1" applyAlignment="1">
      <alignment horizontal="center" vertical="center"/>
    </xf>
    <xf numFmtId="164" fontId="8" fillId="4" borderId="28" xfId="0" applyNumberFormat="1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164" fontId="5" fillId="5" borderId="18" xfId="0" applyNumberFormat="1" applyFont="1" applyFill="1" applyBorder="1" applyAlignment="1">
      <alignment horizontal="center" vertical="center"/>
    </xf>
    <xf numFmtId="164" fontId="5" fillId="5" borderId="20" xfId="0" applyNumberFormat="1" applyFont="1" applyFill="1" applyBorder="1" applyAlignment="1">
      <alignment horizontal="center" vertical="center"/>
    </xf>
    <xf numFmtId="0" fontId="10" fillId="7" borderId="23" xfId="0" applyFont="1" applyFill="1" applyBorder="1" applyAlignment="1">
      <alignment horizontal="center" vertical="center" wrapText="1"/>
    </xf>
    <xf numFmtId="0" fontId="10" fillId="7" borderId="25" xfId="0" applyFont="1" applyFill="1" applyBorder="1" applyAlignment="1">
      <alignment horizontal="center" vertical="center" wrapText="1"/>
    </xf>
    <xf numFmtId="164" fontId="11" fillId="4" borderId="19" xfId="0" applyNumberFormat="1" applyFont="1" applyFill="1" applyBorder="1" applyAlignment="1">
      <alignment horizontal="center" vertical="center"/>
    </xf>
    <xf numFmtId="164" fontId="12" fillId="5" borderId="29" xfId="0" applyNumberFormat="1" applyFont="1" applyFill="1" applyBorder="1" applyAlignment="1">
      <alignment horizontal="center" vertical="center"/>
    </xf>
    <xf numFmtId="164" fontId="12" fillId="5" borderId="8" xfId="0" applyNumberFormat="1" applyFont="1" applyFill="1" applyBorder="1" applyAlignment="1">
      <alignment horizontal="center" vertical="center"/>
    </xf>
    <xf numFmtId="164" fontId="12" fillId="5" borderId="9" xfId="0" applyNumberFormat="1" applyFont="1" applyFill="1" applyBorder="1" applyAlignment="1">
      <alignment horizontal="center" vertical="center"/>
    </xf>
    <xf numFmtId="164" fontId="12" fillId="5" borderId="17" xfId="0" applyNumberFormat="1" applyFont="1" applyFill="1" applyBorder="1" applyAlignment="1">
      <alignment horizontal="center" vertical="center"/>
    </xf>
    <xf numFmtId="164" fontId="12" fillId="5" borderId="31" xfId="0" applyNumberFormat="1" applyFont="1" applyFill="1" applyBorder="1" applyAlignment="1">
      <alignment horizontal="center" vertical="center"/>
    </xf>
    <xf numFmtId="164" fontId="11" fillId="7" borderId="5" xfId="0" applyNumberFormat="1" applyFont="1" applyFill="1" applyBorder="1" applyAlignment="1">
      <alignment horizontal="center" vertical="center"/>
    </xf>
    <xf numFmtId="164" fontId="11" fillId="7" borderId="6" xfId="0" applyNumberFormat="1" applyFont="1" applyFill="1" applyBorder="1" applyAlignment="1">
      <alignment horizontal="center" vertical="center"/>
    </xf>
    <xf numFmtId="164" fontId="11" fillId="7" borderId="11" xfId="0" applyNumberFormat="1" applyFont="1" applyFill="1" applyBorder="1" applyAlignment="1">
      <alignment horizontal="center" vertical="center"/>
    </xf>
    <xf numFmtId="164" fontId="11" fillId="7" borderId="12" xfId="0" applyNumberFormat="1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13" fillId="5" borderId="14" xfId="0" applyFont="1" applyFill="1" applyBorder="1" applyAlignment="1">
      <alignment horizontal="center" vertical="center"/>
    </xf>
    <xf numFmtId="0" fontId="13" fillId="5" borderId="15" xfId="0" applyFont="1" applyFill="1" applyBorder="1" applyAlignment="1">
      <alignment horizontal="center" vertical="center"/>
    </xf>
    <xf numFmtId="164" fontId="8" fillId="5" borderId="4" xfId="3" applyNumberFormat="1" applyFont="1" applyFill="1" applyBorder="1" applyAlignment="1">
      <alignment horizontal="center" vertical="center"/>
    </xf>
    <xf numFmtId="164" fontId="8" fillId="5" borderId="7" xfId="3" applyNumberFormat="1" applyFont="1" applyFill="1" applyBorder="1" applyAlignment="1">
      <alignment horizontal="center" vertical="center"/>
    </xf>
    <xf numFmtId="164" fontId="8" fillId="5" borderId="9" xfId="3" applyNumberFormat="1" applyFont="1" applyFill="1" applyBorder="1" applyAlignment="1">
      <alignment horizontal="center" vertical="center"/>
    </xf>
    <xf numFmtId="164" fontId="8" fillId="4" borderId="18" xfId="3" applyNumberFormat="1" applyFont="1" applyFill="1" applyBorder="1" applyAlignment="1">
      <alignment horizontal="center" vertical="center"/>
    </xf>
    <xf numFmtId="164" fontId="8" fillId="4" borderId="20" xfId="3" applyNumberFormat="1" applyFont="1" applyFill="1" applyBorder="1" applyAlignment="1">
      <alignment horizontal="center" vertical="center"/>
    </xf>
    <xf numFmtId="164" fontId="8" fillId="5" borderId="7" xfId="0" applyNumberFormat="1" applyFont="1" applyFill="1" applyBorder="1" applyAlignment="1">
      <alignment horizontal="center" vertical="center"/>
    </xf>
    <xf numFmtId="164" fontId="8" fillId="5" borderId="9" xfId="0" applyNumberFormat="1" applyFont="1" applyFill="1" applyBorder="1" applyAlignment="1">
      <alignment horizontal="center" vertical="center"/>
    </xf>
    <xf numFmtId="164" fontId="8" fillId="5" borderId="10" xfId="0" applyNumberFormat="1" applyFont="1" applyFill="1" applyBorder="1" applyAlignment="1">
      <alignment horizontal="center" vertical="center"/>
    </xf>
    <xf numFmtId="164" fontId="8" fillId="5" borderId="12" xfId="0" applyNumberFormat="1" applyFont="1" applyFill="1" applyBorder="1" applyAlignment="1">
      <alignment horizontal="center" vertical="center"/>
    </xf>
    <xf numFmtId="164" fontId="8" fillId="5" borderId="27" xfId="0" applyNumberFormat="1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 wrapText="1"/>
    </xf>
    <xf numFmtId="0" fontId="14" fillId="5" borderId="26" xfId="0" applyFont="1" applyFill="1" applyBorder="1" applyAlignment="1">
      <alignment horizontal="center" vertical="center" wrapText="1"/>
    </xf>
    <xf numFmtId="0" fontId="14" fillId="5" borderId="24" xfId="0" applyFont="1" applyFill="1" applyBorder="1" applyAlignment="1">
      <alignment horizontal="center" vertical="center" wrapText="1"/>
    </xf>
    <xf numFmtId="0" fontId="14" fillId="5" borderId="30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center" vertical="center"/>
    </xf>
    <xf numFmtId="165" fontId="0" fillId="0" borderId="7" xfId="3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9" fontId="0" fillId="0" borderId="10" xfId="2" applyFont="1" applyBorder="1" applyAlignment="1">
      <alignment horizontal="center" vertical="center"/>
    </xf>
    <xf numFmtId="164" fontId="8" fillId="4" borderId="5" xfId="0" applyNumberFormat="1" applyFont="1" applyFill="1" applyBorder="1" applyAlignment="1">
      <alignment horizontal="center" vertical="center"/>
    </xf>
    <xf numFmtId="164" fontId="8" fillId="4" borderId="8" xfId="0" applyNumberFormat="1" applyFont="1" applyFill="1" applyBorder="1" applyAlignment="1">
      <alignment horizontal="center" vertical="center"/>
    </xf>
    <xf numFmtId="164" fontId="8" fillId="4" borderId="11" xfId="0" applyNumberFormat="1" applyFont="1" applyFill="1" applyBorder="1" applyAlignment="1">
      <alignment horizontal="center" vertical="center"/>
    </xf>
    <xf numFmtId="164" fontId="8" fillId="5" borderId="5" xfId="3" applyNumberFormat="1" applyFont="1" applyFill="1" applyBorder="1" applyAlignment="1">
      <alignment horizontal="center" vertical="center"/>
    </xf>
    <xf numFmtId="164" fontId="8" fillId="5" borderId="8" xfId="3" applyNumberFormat="1" applyFont="1" applyFill="1" applyBorder="1" applyAlignment="1">
      <alignment horizontal="center" vertical="center"/>
    </xf>
    <xf numFmtId="164" fontId="8" fillId="5" borderId="8" xfId="0" applyNumberFormat="1" applyFont="1" applyFill="1" applyBorder="1" applyAlignment="1">
      <alignment horizontal="center" vertical="center"/>
    </xf>
    <xf numFmtId="9" fontId="8" fillId="5" borderId="11" xfId="2" applyFont="1" applyFill="1" applyBorder="1" applyAlignment="1">
      <alignment horizontal="center" vertical="center"/>
    </xf>
    <xf numFmtId="9" fontId="8" fillId="5" borderId="12" xfId="2" applyFont="1" applyFill="1" applyBorder="1" applyAlignment="1">
      <alignment horizontal="center" vertical="center"/>
    </xf>
    <xf numFmtId="164" fontId="8" fillId="5" borderId="10" xfId="3" applyNumberFormat="1" applyFont="1" applyFill="1" applyBorder="1" applyAlignment="1">
      <alignment horizontal="center" vertical="center"/>
    </xf>
    <xf numFmtId="164" fontId="8" fillId="5" borderId="11" xfId="3" applyNumberFormat="1" applyFont="1" applyFill="1" applyBorder="1" applyAlignment="1">
      <alignment horizontal="center" vertical="center"/>
    </xf>
    <xf numFmtId="164" fontId="8" fillId="5" borderId="12" xfId="3" applyNumberFormat="1" applyFont="1" applyFill="1" applyBorder="1" applyAlignment="1">
      <alignment horizontal="center" vertical="center"/>
    </xf>
    <xf numFmtId="164" fontId="8" fillId="4" borderId="19" xfId="3" applyNumberFormat="1" applyFont="1" applyFill="1" applyBorder="1" applyAlignment="1">
      <alignment horizontal="center" vertical="center"/>
    </xf>
    <xf numFmtId="164" fontId="8" fillId="5" borderId="11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166" fontId="0" fillId="0" borderId="4" xfId="1" applyNumberFormat="1" applyFont="1" applyBorder="1" applyAlignment="1">
      <alignment horizontal="center" vertical="center"/>
    </xf>
    <xf numFmtId="167" fontId="0" fillId="0" borderId="10" xfId="1" applyNumberFormat="1" applyFont="1" applyBorder="1" applyAlignment="1">
      <alignment horizontal="center" vertical="center"/>
    </xf>
    <xf numFmtId="166" fontId="0" fillId="5" borderId="32" xfId="1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65" fontId="0" fillId="0" borderId="14" xfId="3" applyNumberFormat="1" applyFont="1" applyBorder="1" applyAlignment="1">
      <alignment horizontal="center" vertical="center"/>
    </xf>
    <xf numFmtId="166" fontId="0" fillId="0" borderId="15" xfId="1" applyNumberFormat="1" applyFont="1" applyBorder="1" applyAlignment="1">
      <alignment horizontal="center" vertical="center"/>
    </xf>
    <xf numFmtId="166" fontId="0" fillId="0" borderId="13" xfId="1" applyNumberFormat="1" applyFont="1" applyBorder="1" applyAlignment="1">
      <alignment horizontal="center" vertical="center"/>
    </xf>
    <xf numFmtId="167" fontId="0" fillId="0" borderId="15" xfId="1" applyNumberFormat="1" applyFont="1" applyBorder="1" applyAlignment="1">
      <alignment horizontal="center" vertical="center"/>
    </xf>
    <xf numFmtId="165" fontId="0" fillId="0" borderId="13" xfId="3" applyNumberFormat="1" applyFont="1" applyBorder="1" applyAlignment="1">
      <alignment horizontal="center" vertical="center"/>
    </xf>
    <xf numFmtId="9" fontId="0" fillId="0" borderId="15" xfId="2" applyFont="1" applyBorder="1" applyAlignment="1">
      <alignment horizontal="center" vertical="center"/>
    </xf>
    <xf numFmtId="166" fontId="0" fillId="5" borderId="3" xfId="1" applyNumberFormat="1" applyFont="1" applyFill="1" applyBorder="1" applyAlignment="1">
      <alignment horizontal="center" vertical="center"/>
    </xf>
    <xf numFmtId="166" fontId="0" fillId="5" borderId="34" xfId="1" applyNumberFormat="1" applyFont="1" applyFill="1" applyBorder="1" applyAlignment="1">
      <alignment horizontal="center" vertical="center"/>
    </xf>
    <xf numFmtId="164" fontId="0" fillId="0" borderId="0" xfId="0" applyNumberFormat="1"/>
    <xf numFmtId="0" fontId="15" fillId="2" borderId="35" xfId="0" applyFont="1" applyFill="1" applyBorder="1" applyAlignment="1">
      <alignment horizontal="center" vertical="center"/>
    </xf>
    <xf numFmtId="164" fontId="11" fillId="4" borderId="35" xfId="0" applyNumberFormat="1" applyFont="1" applyFill="1" applyBorder="1" applyAlignment="1">
      <alignment horizontal="center" vertical="center"/>
    </xf>
    <xf numFmtId="164" fontId="11" fillId="4" borderId="38" xfId="0" applyNumberFormat="1" applyFont="1" applyFill="1" applyBorder="1" applyAlignment="1">
      <alignment horizontal="center" vertical="center"/>
    </xf>
    <xf numFmtId="164" fontId="11" fillId="4" borderId="40" xfId="0" applyNumberFormat="1" applyFont="1" applyFill="1" applyBorder="1" applyAlignment="1">
      <alignment horizontal="center" vertical="center"/>
    </xf>
    <xf numFmtId="0" fontId="15" fillId="2" borderId="40" xfId="0" applyFont="1" applyFill="1" applyBorder="1" applyAlignment="1">
      <alignment horizontal="center" vertical="center"/>
    </xf>
    <xf numFmtId="0" fontId="0" fillId="0" borderId="41" xfId="0" applyBorder="1"/>
    <xf numFmtId="164" fontId="12" fillId="5" borderId="5" xfId="0" applyNumberFormat="1" applyFont="1" applyFill="1" applyBorder="1" applyAlignment="1">
      <alignment horizontal="center" vertical="center"/>
    </xf>
    <xf numFmtId="164" fontId="12" fillId="5" borderId="6" xfId="0" applyNumberFormat="1" applyFont="1" applyFill="1" applyBorder="1" applyAlignment="1">
      <alignment horizontal="center" vertical="center"/>
    </xf>
    <xf numFmtId="164" fontId="12" fillId="5" borderId="11" xfId="0" applyNumberFormat="1" applyFont="1" applyFill="1" applyBorder="1" applyAlignment="1">
      <alignment horizontal="center" vertical="center"/>
    </xf>
    <xf numFmtId="164" fontId="12" fillId="5" borderId="12" xfId="0" applyNumberFormat="1" applyFont="1" applyFill="1" applyBorder="1" applyAlignment="1">
      <alignment horizontal="center" vertical="center"/>
    </xf>
    <xf numFmtId="164" fontId="12" fillId="5" borderId="19" xfId="0" applyNumberFormat="1" applyFont="1" applyFill="1" applyBorder="1" applyAlignment="1">
      <alignment horizontal="center" vertical="center"/>
    </xf>
    <xf numFmtId="164" fontId="12" fillId="5" borderId="20" xfId="0" applyNumberFormat="1" applyFont="1" applyFill="1" applyBorder="1" applyAlignment="1">
      <alignment horizontal="center" vertical="center"/>
    </xf>
    <xf numFmtId="0" fontId="15" fillId="2" borderId="42" xfId="0" applyFont="1" applyFill="1" applyBorder="1" applyAlignment="1">
      <alignment horizontal="center" vertical="center"/>
    </xf>
    <xf numFmtId="164" fontId="11" fillId="4" borderId="42" xfId="0" applyNumberFormat="1" applyFont="1" applyFill="1" applyBorder="1" applyAlignment="1">
      <alignment horizontal="center" vertical="center"/>
    </xf>
    <xf numFmtId="164" fontId="12" fillId="5" borderId="43" xfId="0" applyNumberFormat="1" applyFont="1" applyFill="1" applyBorder="1" applyAlignment="1">
      <alignment horizontal="center" vertical="center"/>
    </xf>
    <xf numFmtId="164" fontId="12" fillId="5" borderId="44" xfId="0" applyNumberFormat="1" applyFont="1" applyFill="1" applyBorder="1" applyAlignment="1">
      <alignment horizontal="center" vertical="center"/>
    </xf>
    <xf numFmtId="164" fontId="12" fillId="5" borderId="45" xfId="0" applyNumberFormat="1" applyFont="1" applyFill="1" applyBorder="1" applyAlignment="1">
      <alignment horizontal="center" vertical="center"/>
    </xf>
    <xf numFmtId="164" fontId="12" fillId="5" borderId="46" xfId="0" applyNumberFormat="1" applyFont="1" applyFill="1" applyBorder="1" applyAlignment="1">
      <alignment horizontal="center" vertical="center"/>
    </xf>
    <xf numFmtId="164" fontId="11" fillId="7" borderId="47" xfId="0" applyNumberFormat="1" applyFont="1" applyFill="1" applyBorder="1" applyAlignment="1">
      <alignment horizontal="center" vertical="center"/>
    </xf>
    <xf numFmtId="164" fontId="11" fillId="7" borderId="48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65" fontId="0" fillId="0" borderId="37" xfId="3" applyNumberFormat="1" applyFont="1" applyBorder="1" applyAlignment="1">
      <alignment horizontal="center" vertical="center"/>
    </xf>
    <xf numFmtId="166" fontId="0" fillId="0" borderId="36" xfId="1" applyNumberFormat="1" applyFont="1" applyBorder="1" applyAlignment="1">
      <alignment horizontal="center" vertical="center"/>
    </xf>
    <xf numFmtId="166" fontId="0" fillId="0" borderId="39" xfId="1" applyNumberFormat="1" applyFont="1" applyBorder="1" applyAlignment="1">
      <alignment horizontal="center" vertical="center"/>
    </xf>
    <xf numFmtId="167" fontId="0" fillId="0" borderId="36" xfId="1" applyNumberFormat="1" applyFont="1" applyBorder="1" applyAlignment="1">
      <alignment horizontal="center" vertical="center"/>
    </xf>
    <xf numFmtId="165" fontId="0" fillId="0" borderId="39" xfId="3" applyNumberFormat="1" applyFont="1" applyBorder="1" applyAlignment="1">
      <alignment horizontal="center" vertical="center"/>
    </xf>
    <xf numFmtId="9" fontId="0" fillId="0" borderId="36" xfId="2" applyFont="1" applyBorder="1" applyAlignment="1">
      <alignment horizontal="center" vertical="center"/>
    </xf>
    <xf numFmtId="166" fontId="0" fillId="5" borderId="38" xfId="1" applyNumberFormat="1" applyFont="1" applyFill="1" applyBorder="1" applyAlignment="1">
      <alignment horizontal="center" vertical="center"/>
    </xf>
    <xf numFmtId="166" fontId="0" fillId="5" borderId="40" xfId="1" applyNumberFormat="1" applyFont="1" applyFill="1" applyBorder="1" applyAlignment="1">
      <alignment horizontal="center" vertical="center"/>
    </xf>
    <xf numFmtId="0" fontId="16" fillId="2" borderId="42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164" fontId="8" fillId="5" borderId="5" xfId="0" applyNumberFormat="1" applyFont="1" applyFill="1" applyBorder="1" applyAlignment="1">
      <alignment horizontal="center" vertical="center"/>
    </xf>
    <xf numFmtId="164" fontId="8" fillId="5" borderId="6" xfId="0" applyNumberFormat="1" applyFont="1" applyFill="1" applyBorder="1" applyAlignment="1">
      <alignment horizontal="center" vertical="center"/>
    </xf>
    <xf numFmtId="164" fontId="8" fillId="5" borderId="28" xfId="3" applyNumberFormat="1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166" fontId="0" fillId="0" borderId="0" xfId="0" applyNumberFormat="1"/>
    <xf numFmtId="9" fontId="0" fillId="0" borderId="0" xfId="0" applyNumberFormat="1"/>
    <xf numFmtId="165" fontId="0" fillId="0" borderId="0" xfId="3" applyNumberFormat="1" applyFont="1"/>
    <xf numFmtId="164" fontId="8" fillId="5" borderId="18" xfId="3" applyNumberFormat="1" applyFont="1" applyFill="1" applyBorder="1" applyAlignment="1">
      <alignment horizontal="center" vertical="center"/>
    </xf>
    <xf numFmtId="164" fontId="8" fillId="5" borderId="19" xfId="3" applyNumberFormat="1" applyFont="1" applyFill="1" applyBorder="1" applyAlignment="1">
      <alignment horizontal="center" vertical="center"/>
    </xf>
    <xf numFmtId="0" fontId="2" fillId="3" borderId="49" xfId="0" applyFont="1" applyFill="1" applyBorder="1" applyAlignment="1">
      <alignment horizontal="center" vertical="center"/>
    </xf>
    <xf numFmtId="164" fontId="8" fillId="5" borderId="50" xfId="3" applyNumberFormat="1" applyFont="1" applyFill="1" applyBorder="1" applyAlignment="1">
      <alignment horizontal="center" vertical="center"/>
    </xf>
    <xf numFmtId="164" fontId="8" fillId="5" borderId="51" xfId="3" applyNumberFormat="1" applyFont="1" applyFill="1" applyBorder="1" applyAlignment="1">
      <alignment horizontal="center" vertical="center"/>
    </xf>
    <xf numFmtId="164" fontId="8" fillId="5" borderId="52" xfId="3" applyNumberFormat="1" applyFont="1" applyFill="1" applyBorder="1" applyAlignment="1">
      <alignment horizontal="center" vertical="center"/>
    </xf>
    <xf numFmtId="164" fontId="8" fillId="4" borderId="53" xfId="3" applyNumberFormat="1" applyFont="1" applyFill="1" applyBorder="1" applyAlignment="1">
      <alignment horizontal="center" vertical="center"/>
    </xf>
    <xf numFmtId="164" fontId="8" fillId="5" borderId="54" xfId="0" applyNumberFormat="1" applyFont="1" applyFill="1" applyBorder="1" applyAlignment="1">
      <alignment horizontal="center" vertical="center"/>
    </xf>
    <xf numFmtId="164" fontId="8" fillId="5" borderId="51" xfId="0" applyNumberFormat="1" applyFont="1" applyFill="1" applyBorder="1" applyAlignment="1">
      <alignment horizontal="center" vertical="center"/>
    </xf>
    <xf numFmtId="164" fontId="8" fillId="5" borderId="52" xfId="0" applyNumberFormat="1" applyFont="1" applyFill="1" applyBorder="1" applyAlignment="1">
      <alignment horizontal="center" vertical="center"/>
    </xf>
    <xf numFmtId="9" fontId="8" fillId="5" borderId="52" xfId="2" applyFont="1" applyFill="1" applyBorder="1" applyAlignment="1">
      <alignment horizontal="center" vertical="center"/>
    </xf>
  </cellXfs>
  <cellStyles count="4">
    <cellStyle name="Millares" xfId="3" builtinId="3"/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2"/>
  <sheetViews>
    <sheetView showGridLines="0" zoomScale="90" zoomScaleNormal="90" workbookViewId="0">
      <selection activeCell="D16" sqref="D16"/>
    </sheetView>
  </sheetViews>
  <sheetFormatPr baseColWidth="10" defaultRowHeight="14.4" x14ac:dyDescent="0.3"/>
  <cols>
    <col min="1" max="1" width="2" customWidth="1"/>
    <col min="2" max="2" width="26.88671875" customWidth="1"/>
    <col min="3" max="6" width="19.109375" bestFit="1" customWidth="1"/>
  </cols>
  <sheetData>
    <row r="1" spans="2:6" ht="15" x14ac:dyDescent="0.25">
      <c r="B1" s="4"/>
    </row>
    <row r="2" spans="2:6" ht="15.75" thickBot="1" x14ac:dyDescent="0.3"/>
    <row r="3" spans="2:6" s="2" customFormat="1" ht="27" customHeight="1" thickBot="1" x14ac:dyDescent="0.3">
      <c r="C3" s="82">
        <v>2020</v>
      </c>
      <c r="D3" s="82">
        <v>2021</v>
      </c>
      <c r="E3" s="82">
        <v>2020</v>
      </c>
      <c r="F3" s="114">
        <v>2021</v>
      </c>
    </row>
    <row r="4" spans="2:6" s="2" customFormat="1" ht="27" customHeight="1" x14ac:dyDescent="0.25">
      <c r="B4" s="10" t="s">
        <v>1</v>
      </c>
      <c r="C4" s="113" t="str">
        <f>+'PREVISION DE VENTAS '!C5</f>
        <v>Fremium + Premium</v>
      </c>
      <c r="D4" s="113" t="str">
        <f>+'PREVISION DE VENTAS '!D5</f>
        <v>Fremium + Premium</v>
      </c>
      <c r="E4" s="113" t="str">
        <f>+'PREVISION DE VENTAS '!E5</f>
        <v>Fremium + Premium</v>
      </c>
      <c r="F4" s="115" t="str">
        <f>+'PREVISION DE VENTAS '!F5</f>
        <v>Fremium + Premium</v>
      </c>
    </row>
    <row r="5" spans="2:6" s="2" customFormat="1" ht="27" customHeight="1" x14ac:dyDescent="0.25">
      <c r="B5" s="11" t="s">
        <v>2</v>
      </c>
      <c r="C5" s="84">
        <f>+'PREVISION DE VENTAS '!C6</f>
        <v>195000</v>
      </c>
      <c r="D5" s="84">
        <f>+'PREVISION DE VENTAS '!D6</f>
        <v>636000</v>
      </c>
      <c r="E5" s="84">
        <f>+'PREVISION DE VENTAS '!E6</f>
        <v>1081500</v>
      </c>
      <c r="F5" s="116">
        <f>+'PREVISION DE VENTAS '!F6</f>
        <v>1522500</v>
      </c>
    </row>
    <row r="6" spans="2:6" s="2" customFormat="1" ht="27" customHeight="1" thickBot="1" x14ac:dyDescent="0.3">
      <c r="B6" s="12" t="s">
        <v>3</v>
      </c>
      <c r="C6" s="85" t="str">
        <f>+'PREVISION DE VENTAS '!C7</f>
        <v>[0,8 - 1,8] €</v>
      </c>
      <c r="D6" s="85" t="str">
        <f>+'PREVISION DE VENTAS '!D7</f>
        <v>[0,8 - 1,8] €</v>
      </c>
      <c r="E6" s="85" t="str">
        <f>+'PREVISION DE VENTAS '!E7</f>
        <v>[0,8 - 1,8] €</v>
      </c>
      <c r="F6" s="117" t="str">
        <f>+'PREVISION DE VENTAS '!F7</f>
        <v>[0,8 - 1,8] €</v>
      </c>
    </row>
    <row r="7" spans="2:6" s="2" customFormat="1" ht="27" customHeight="1" x14ac:dyDescent="0.25">
      <c r="B7" s="10" t="s">
        <v>0</v>
      </c>
      <c r="C7" s="86">
        <f>+'PREVISION DE VENTAS '!C8</f>
        <v>306000</v>
      </c>
      <c r="D7" s="86">
        <f>+'PREVISION DE VENTAS '!D8</f>
        <v>1108800</v>
      </c>
      <c r="E7" s="86">
        <f>+'PREVISION DE VENTAS '!E8</f>
        <v>1915200</v>
      </c>
      <c r="F7" s="118">
        <f>+'PREVISION DE VENTAS '!F8</f>
        <v>2718000</v>
      </c>
    </row>
    <row r="8" spans="2:6" s="2" customFormat="1" ht="27" customHeight="1" thickBot="1" x14ac:dyDescent="0.3">
      <c r="B8" s="12" t="s">
        <v>4</v>
      </c>
      <c r="C8" s="87">
        <f>+'PREVISION DE VENTAS '!C9</f>
        <v>0.99150000000000005</v>
      </c>
      <c r="D8" s="87">
        <f>+'PREVISION DE VENTAS '!D9</f>
        <v>0.56920000000000004</v>
      </c>
      <c r="E8" s="87">
        <f>+'PREVISION DE VENTAS '!E9</f>
        <v>0.49580000000000002</v>
      </c>
      <c r="F8" s="119">
        <f>+'PREVISION DE VENTAS '!F9</f>
        <v>0.53320000000000001</v>
      </c>
    </row>
    <row r="9" spans="2:6" s="2" customFormat="1" ht="27" customHeight="1" x14ac:dyDescent="0.25">
      <c r="B9" s="10" t="s">
        <v>5</v>
      </c>
      <c r="C9" s="88">
        <f>+'PREVISION DE VENTAS '!C10</f>
        <v>193351</v>
      </c>
      <c r="D9" s="88">
        <f>+'PREVISION DE VENTAS '!D10</f>
        <v>362021</v>
      </c>
      <c r="E9" s="88">
        <f>+'PREVISION DE VENTAS '!E10</f>
        <v>536225</v>
      </c>
      <c r="F9" s="120">
        <f>+'PREVISION DE VENTAS '!F10</f>
        <v>811838</v>
      </c>
    </row>
    <row r="10" spans="2:6" s="2" customFormat="1" ht="27" customHeight="1" thickBot="1" x14ac:dyDescent="0.3">
      <c r="B10" s="13" t="s">
        <v>6</v>
      </c>
      <c r="C10" s="89">
        <f>+'PREVISION DE VENTAS '!C11</f>
        <v>0.63190000000000002</v>
      </c>
      <c r="D10" s="89">
        <f>+'PREVISION DE VENTAS '!D11</f>
        <v>0.32650000000000001</v>
      </c>
      <c r="E10" s="89">
        <f>+'PREVISION DE VENTAS '!E11</f>
        <v>0.28000000000000003</v>
      </c>
      <c r="F10" s="121">
        <f>+'PREVISION DE VENTAS '!F11</f>
        <v>0.29870000000000002</v>
      </c>
    </row>
    <row r="11" spans="2:6" s="2" customFormat="1" ht="30" customHeight="1" thickBot="1" x14ac:dyDescent="0.3">
      <c r="B11" s="8" t="s">
        <v>81</v>
      </c>
      <c r="C11" s="90">
        <f>+'PREVISION DE VENTAS '!C12</f>
        <v>306000</v>
      </c>
      <c r="D11" s="90">
        <f>+'PREVISION DE VENTAS '!D12</f>
        <v>1108800</v>
      </c>
      <c r="E11" s="90">
        <f>+'PREVISION DE VENTAS '!E12</f>
        <v>1915200</v>
      </c>
      <c r="F11" s="122">
        <f>+'PREVISION DE VENTAS '!F12</f>
        <v>2718000</v>
      </c>
    </row>
    <row r="12" spans="2:6" s="2" customFormat="1" ht="30" customHeight="1" thickBot="1" x14ac:dyDescent="0.3">
      <c r="B12" s="8" t="s">
        <v>82</v>
      </c>
      <c r="C12" s="91">
        <f>+'PREVISION DE VENTAS '!C13</f>
        <v>193351</v>
      </c>
      <c r="D12" s="91">
        <f>+'PREVISION DE VENTAS '!D13</f>
        <v>362021</v>
      </c>
      <c r="E12" s="91">
        <f>+'PREVISION DE VENTAS '!E13</f>
        <v>536225</v>
      </c>
      <c r="F12" s="123">
        <f>+'PREVISION DE VENTAS '!F13</f>
        <v>811838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2"/>
  <sheetViews>
    <sheetView showGridLines="0" tabSelected="1" topLeftCell="A3" zoomScale="90" zoomScaleNormal="90" workbookViewId="0">
      <selection activeCell="G17" sqref="G17"/>
    </sheetView>
  </sheetViews>
  <sheetFormatPr baseColWidth="10" defaultRowHeight="14.4" x14ac:dyDescent="0.3"/>
  <cols>
    <col min="1" max="1" width="2" customWidth="1"/>
    <col min="2" max="2" width="26.88671875" customWidth="1"/>
    <col min="3" max="6" width="19.109375" bestFit="1" customWidth="1"/>
  </cols>
  <sheetData>
    <row r="2" spans="2:6" ht="15" x14ac:dyDescent="0.25">
      <c r="B2" s="4"/>
    </row>
    <row r="3" spans="2:6" ht="15.75" thickBot="1" x14ac:dyDescent="0.3"/>
    <row r="4" spans="2:6" s="2" customFormat="1" ht="27" customHeight="1" thickBot="1" x14ac:dyDescent="0.3">
      <c r="C4" s="9">
        <v>2020</v>
      </c>
      <c r="D4" s="9">
        <v>2021</v>
      </c>
      <c r="E4" s="9">
        <v>2022</v>
      </c>
      <c r="F4" s="82">
        <v>2023</v>
      </c>
    </row>
    <row r="5" spans="2:6" s="2" customFormat="1" ht="27" customHeight="1" x14ac:dyDescent="0.25">
      <c r="B5" s="10" t="s">
        <v>1</v>
      </c>
      <c r="C5" s="63" t="s">
        <v>83</v>
      </c>
      <c r="D5" s="63" t="s">
        <v>83</v>
      </c>
      <c r="E5" s="63" t="s">
        <v>83</v>
      </c>
      <c r="F5" s="83" t="s">
        <v>83</v>
      </c>
    </row>
    <row r="6" spans="2:6" s="2" customFormat="1" ht="27" customHeight="1" x14ac:dyDescent="0.25">
      <c r="B6" s="11" t="s">
        <v>2</v>
      </c>
      <c r="C6" s="62">
        <v>195000</v>
      </c>
      <c r="D6" s="62">
        <v>636000</v>
      </c>
      <c r="E6" s="62">
        <v>1081500</v>
      </c>
      <c r="F6" s="84">
        <v>1522500</v>
      </c>
    </row>
    <row r="7" spans="2:6" s="2" customFormat="1" ht="27" customHeight="1" thickBot="1" x14ac:dyDescent="0.35">
      <c r="B7" s="12" t="s">
        <v>3</v>
      </c>
      <c r="C7" s="6" t="s">
        <v>84</v>
      </c>
      <c r="D7" s="6" t="s">
        <v>84</v>
      </c>
      <c r="E7" s="6" t="s">
        <v>84</v>
      </c>
      <c r="F7" s="85" t="s">
        <v>84</v>
      </c>
    </row>
    <row r="8" spans="2:6" s="2" customFormat="1" ht="27" customHeight="1" x14ac:dyDescent="0.25">
      <c r="B8" s="10" t="s">
        <v>0</v>
      </c>
      <c r="C8" s="79">
        <v>306000</v>
      </c>
      <c r="D8" s="79">
        <v>1108800</v>
      </c>
      <c r="E8" s="79">
        <v>1915200</v>
      </c>
      <c r="F8" s="86">
        <v>2718000</v>
      </c>
    </row>
    <row r="9" spans="2:6" s="2" customFormat="1" ht="27" customHeight="1" thickBot="1" x14ac:dyDescent="0.3">
      <c r="B9" s="12" t="s">
        <v>4</v>
      </c>
      <c r="C9" s="80">
        <v>0.99150000000000005</v>
      </c>
      <c r="D9" s="80">
        <v>0.56920000000000004</v>
      </c>
      <c r="E9" s="80">
        <v>0.49580000000000002</v>
      </c>
      <c r="F9" s="87">
        <v>0.53320000000000001</v>
      </c>
    </row>
    <row r="10" spans="2:6" s="2" customFormat="1" ht="27" customHeight="1" x14ac:dyDescent="0.25">
      <c r="B10" s="10" t="s">
        <v>5</v>
      </c>
      <c r="C10" s="5">
        <v>193351</v>
      </c>
      <c r="D10" s="5">
        <v>362021</v>
      </c>
      <c r="E10" s="5">
        <v>536225</v>
      </c>
      <c r="F10" s="88">
        <v>811838</v>
      </c>
    </row>
    <row r="11" spans="2:6" s="2" customFormat="1" ht="27" customHeight="1" thickBot="1" x14ac:dyDescent="0.3">
      <c r="B11" s="13" t="s">
        <v>6</v>
      </c>
      <c r="C11" s="64">
        <v>0.63190000000000002</v>
      </c>
      <c r="D11" s="64">
        <v>0.32650000000000001</v>
      </c>
      <c r="E11" s="64">
        <v>0.28000000000000003</v>
      </c>
      <c r="F11" s="89">
        <v>0.29870000000000002</v>
      </c>
    </row>
    <row r="12" spans="2:6" s="2" customFormat="1" ht="27" customHeight="1" thickBot="1" x14ac:dyDescent="0.3">
      <c r="B12" s="8" t="s">
        <v>7</v>
      </c>
      <c r="C12" s="7">
        <f>+C8</f>
        <v>306000</v>
      </c>
      <c r="D12" s="7">
        <f>+D8</f>
        <v>1108800</v>
      </c>
      <c r="E12" s="7">
        <f>+E8</f>
        <v>1915200</v>
      </c>
      <c r="F12" s="90">
        <v>2718000</v>
      </c>
    </row>
    <row r="13" spans="2:6" s="2" customFormat="1" ht="27" customHeight="1" thickBot="1" x14ac:dyDescent="0.3">
      <c r="B13" s="8" t="s">
        <v>8</v>
      </c>
      <c r="C13" s="81">
        <f>+C10</f>
        <v>193351</v>
      </c>
      <c r="D13" s="81">
        <f>+D10</f>
        <v>362021</v>
      </c>
      <c r="E13" s="81">
        <f>+E10</f>
        <v>536225</v>
      </c>
      <c r="F13" s="91">
        <v>811838</v>
      </c>
    </row>
    <row r="16" spans="2:6" ht="15" x14ac:dyDescent="0.25">
      <c r="C16" s="131"/>
      <c r="D16" s="131"/>
      <c r="E16" s="131"/>
      <c r="F16" s="131"/>
    </row>
    <row r="18" spans="2:5" ht="15" x14ac:dyDescent="0.25">
      <c r="B18" s="132"/>
      <c r="C18" s="133"/>
      <c r="D18" s="133"/>
      <c r="E18" s="133"/>
    </row>
    <row r="19" spans="2:5" ht="15" x14ac:dyDescent="0.25">
      <c r="C19" s="133"/>
      <c r="D19" s="133"/>
      <c r="E19" s="133"/>
    </row>
    <row r="20" spans="2:5" ht="15" x14ac:dyDescent="0.25">
      <c r="C20" s="133"/>
      <c r="D20" s="133"/>
      <c r="E20" s="133"/>
    </row>
    <row r="21" spans="2:5" ht="15" x14ac:dyDescent="0.25">
      <c r="C21" s="133"/>
      <c r="D21" s="133"/>
      <c r="E21" s="133"/>
    </row>
    <row r="22" spans="2:5" ht="15" x14ac:dyDescent="0.25">
      <c r="C22" s="133"/>
      <c r="D22" s="133"/>
      <c r="E22" s="133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6"/>
  <sheetViews>
    <sheetView showGridLines="0" zoomScale="60" zoomScaleNormal="60" workbookViewId="0">
      <selection activeCell="C23" sqref="C23"/>
    </sheetView>
  </sheetViews>
  <sheetFormatPr baseColWidth="10" defaultRowHeight="14.4" x14ac:dyDescent="0.3"/>
  <cols>
    <col min="1" max="1" width="2.33203125" customWidth="1"/>
    <col min="2" max="2" width="52.109375" customWidth="1"/>
    <col min="3" max="6" width="16.5546875" bestFit="1" customWidth="1"/>
    <col min="8" max="8" width="14.33203125" bestFit="1" customWidth="1"/>
  </cols>
  <sheetData>
    <row r="2" spans="2:9" ht="21" x14ac:dyDescent="0.25">
      <c r="B2" s="3"/>
    </row>
    <row r="3" spans="2:9" ht="9.75" customHeight="1" thickBot="1" x14ac:dyDescent="0.3">
      <c r="B3" s="3"/>
    </row>
    <row r="4" spans="2:9" ht="26.25" customHeight="1" thickBot="1" x14ac:dyDescent="0.3">
      <c r="C4" s="15">
        <v>2020</v>
      </c>
      <c r="D4" s="14">
        <v>2021</v>
      </c>
      <c r="E4" s="15">
        <v>2022</v>
      </c>
      <c r="F4" s="14">
        <v>2023</v>
      </c>
    </row>
    <row r="5" spans="2:9" ht="26.25" customHeight="1" thickBot="1" x14ac:dyDescent="0.35">
      <c r="B5" s="25" t="s">
        <v>9</v>
      </c>
      <c r="C5" s="26">
        <f>+SUM(C7:C17)</f>
        <v>63743.430000000008</v>
      </c>
      <c r="D5" s="27">
        <f t="shared" ref="D5:F5" si="0">+SUM(D7:D17)</f>
        <v>165050.29</v>
      </c>
      <c r="E5" s="26">
        <f t="shared" si="0"/>
        <v>274254.22000000003</v>
      </c>
      <c r="F5" s="27">
        <f t="shared" si="0"/>
        <v>368007.72</v>
      </c>
    </row>
    <row r="6" spans="2:9" ht="26.25" customHeight="1" x14ac:dyDescent="0.25">
      <c r="B6" s="22" t="s">
        <v>10</v>
      </c>
      <c r="C6" s="23">
        <v>30000</v>
      </c>
      <c r="D6" s="65">
        <v>40000</v>
      </c>
      <c r="E6" s="65">
        <v>50000</v>
      </c>
      <c r="F6" s="24">
        <v>141859</v>
      </c>
    </row>
    <row r="7" spans="2:9" ht="26.25" customHeight="1" x14ac:dyDescent="0.3">
      <c r="B7" s="16" t="s">
        <v>11</v>
      </c>
      <c r="C7" s="18">
        <v>3884.28</v>
      </c>
      <c r="D7" s="66">
        <v>3884</v>
      </c>
      <c r="E7" s="66">
        <f>+D7</f>
        <v>3884</v>
      </c>
      <c r="F7" s="19">
        <f>+E7*2</f>
        <v>7768</v>
      </c>
    </row>
    <row r="8" spans="2:9" ht="26.25" customHeight="1" x14ac:dyDescent="0.3">
      <c r="B8" s="16" t="s">
        <v>12</v>
      </c>
      <c r="C8" s="18">
        <v>20.7</v>
      </c>
      <c r="D8" s="66">
        <f>+C8*2</f>
        <v>41.4</v>
      </c>
      <c r="E8" s="66">
        <f>+C8*3</f>
        <v>62.099999999999994</v>
      </c>
      <c r="F8" s="19">
        <f>+C8*4</f>
        <v>82.8</v>
      </c>
      <c r="I8" s="92"/>
    </row>
    <row r="9" spans="2:9" ht="26.25" customHeight="1" x14ac:dyDescent="0.25">
      <c r="B9" s="16" t="s">
        <v>13</v>
      </c>
      <c r="C9" s="18">
        <v>6731.57</v>
      </c>
      <c r="D9" s="66">
        <f>+C9-5000</f>
        <v>1731.5699999999997</v>
      </c>
      <c r="E9" s="66">
        <f>+D9*2</f>
        <v>3463.1399999999994</v>
      </c>
      <c r="F9" s="19">
        <f>+E9*2</f>
        <v>6926.2799999999988</v>
      </c>
      <c r="H9" s="92"/>
    </row>
    <row r="10" spans="2:9" ht="26.25" customHeight="1" x14ac:dyDescent="0.25">
      <c r="B10" s="16" t="s">
        <v>14</v>
      </c>
      <c r="C10" s="18">
        <f>20000+613</f>
        <v>20613</v>
      </c>
      <c r="D10" s="66">
        <v>60000</v>
      </c>
      <c r="E10" s="66">
        <v>117838</v>
      </c>
      <c r="F10" s="19">
        <v>150000</v>
      </c>
      <c r="H10" s="92"/>
    </row>
    <row r="11" spans="2:9" ht="26.25" customHeight="1" x14ac:dyDescent="0.25">
      <c r="B11" s="16" t="s">
        <v>15</v>
      </c>
      <c r="C11" s="18">
        <v>445.83</v>
      </c>
      <c r="D11" s="66">
        <f>+C11*2</f>
        <v>891.66</v>
      </c>
      <c r="E11" s="66">
        <f>+C11*3</f>
        <v>1337.49</v>
      </c>
      <c r="F11" s="19">
        <f>+C11*5</f>
        <v>2229.15</v>
      </c>
    </row>
    <row r="12" spans="2:9" ht="26.25" customHeight="1" x14ac:dyDescent="0.25">
      <c r="B12" s="16" t="s">
        <v>16</v>
      </c>
      <c r="C12" s="18">
        <v>445.83</v>
      </c>
      <c r="D12" s="66">
        <f>+C12*2</f>
        <v>891.66</v>
      </c>
      <c r="E12" s="66">
        <f>+C12*3+3000</f>
        <v>4337.49</v>
      </c>
      <c r="F12" s="19">
        <f>+E12</f>
        <v>4337.49</v>
      </c>
    </row>
    <row r="13" spans="2:9" ht="26.25" customHeight="1" x14ac:dyDescent="0.3">
      <c r="B13" s="16" t="s">
        <v>17</v>
      </c>
      <c r="C13" s="18">
        <f>+SUM('PREVISION DE TESORERIA Mensual '!G22:N22)</f>
        <v>0</v>
      </c>
      <c r="D13" s="66">
        <v>36000</v>
      </c>
      <c r="E13" s="66">
        <v>50000</v>
      </c>
      <c r="F13" s="19">
        <v>70000</v>
      </c>
    </row>
    <row r="14" spans="2:9" ht="26.25" customHeight="1" x14ac:dyDescent="0.25">
      <c r="B14" s="16" t="s">
        <v>18</v>
      </c>
      <c r="C14" s="18">
        <v>1591</v>
      </c>
      <c r="D14" s="66">
        <f>+C14</f>
        <v>1591</v>
      </c>
      <c r="E14" s="66">
        <f>+D14*2</f>
        <v>3182</v>
      </c>
      <c r="F14" s="19">
        <f>+E14*2</f>
        <v>6364</v>
      </c>
    </row>
    <row r="15" spans="2:9" ht="26.25" customHeight="1" x14ac:dyDescent="0.25">
      <c r="B15" s="16" t="s">
        <v>19</v>
      </c>
      <c r="C15" s="18">
        <v>10000</v>
      </c>
      <c r="D15" s="66">
        <v>20000</v>
      </c>
      <c r="E15" s="66">
        <v>30000</v>
      </c>
      <c r="F15" s="19">
        <v>40000</v>
      </c>
    </row>
    <row r="16" spans="2:9" ht="26.25" customHeight="1" x14ac:dyDescent="0.25">
      <c r="B16" s="16" t="s">
        <v>20</v>
      </c>
      <c r="C16" s="18">
        <v>11.22</v>
      </c>
      <c r="D16" s="66">
        <v>19</v>
      </c>
      <c r="E16" s="66">
        <v>150</v>
      </c>
      <c r="F16" s="19">
        <v>300</v>
      </c>
    </row>
    <row r="17" spans="2:8" ht="26.25" customHeight="1" x14ac:dyDescent="0.3">
      <c r="B17" s="16" t="s">
        <v>21</v>
      </c>
      <c r="C17" s="18">
        <v>20000</v>
      </c>
      <c r="D17" s="66">
        <v>40000</v>
      </c>
      <c r="E17" s="66">
        <v>60000</v>
      </c>
      <c r="F17" s="19">
        <v>80000</v>
      </c>
    </row>
    <row r="18" spans="2:8" ht="26.25" customHeight="1" x14ac:dyDescent="0.25">
      <c r="B18" s="16" t="s">
        <v>22</v>
      </c>
      <c r="C18" s="18">
        <v>0</v>
      </c>
      <c r="D18" s="66">
        <v>0</v>
      </c>
      <c r="E18" s="66">
        <v>0</v>
      </c>
      <c r="F18" s="19">
        <v>0</v>
      </c>
    </row>
    <row r="19" spans="2:8" ht="26.25" customHeight="1" x14ac:dyDescent="0.25">
      <c r="B19" s="16" t="s">
        <v>23</v>
      </c>
      <c r="C19" s="18">
        <v>45750</v>
      </c>
      <c r="D19" s="66">
        <v>82350</v>
      </c>
      <c r="E19" s="66">
        <v>132675</v>
      </c>
      <c r="F19" s="19">
        <v>215025</v>
      </c>
    </row>
    <row r="20" spans="2:8" ht="26.25" customHeight="1" x14ac:dyDescent="0.25">
      <c r="B20" s="16" t="s">
        <v>24</v>
      </c>
      <c r="C20" s="18">
        <v>4250</v>
      </c>
      <c r="D20" s="66">
        <v>7650</v>
      </c>
      <c r="E20" s="66">
        <v>12325</v>
      </c>
      <c r="F20" s="19">
        <v>19975</v>
      </c>
    </row>
    <row r="21" spans="2:8" ht="26.25" customHeight="1" x14ac:dyDescent="0.25">
      <c r="B21" s="16" t="s">
        <v>25</v>
      </c>
      <c r="C21" s="18">
        <v>43559.43</v>
      </c>
      <c r="D21" s="66">
        <v>60000</v>
      </c>
      <c r="E21" s="66">
        <f>+D21</f>
        <v>60000</v>
      </c>
      <c r="F21" s="19">
        <f>+E21</f>
        <v>60000</v>
      </c>
    </row>
    <row r="22" spans="2:8" ht="26.25" customHeight="1" x14ac:dyDescent="0.25">
      <c r="B22" s="16" t="s">
        <v>26</v>
      </c>
      <c r="C22" s="18">
        <v>0</v>
      </c>
      <c r="D22" s="66">
        <v>0</v>
      </c>
      <c r="E22" s="66">
        <v>0</v>
      </c>
      <c r="F22" s="19">
        <v>0</v>
      </c>
    </row>
    <row r="23" spans="2:8" ht="26.25" customHeight="1" thickBot="1" x14ac:dyDescent="0.3">
      <c r="B23" s="17" t="s">
        <v>24</v>
      </c>
      <c r="C23" s="20">
        <v>6048</v>
      </c>
      <c r="D23" s="67">
        <v>6971</v>
      </c>
      <c r="E23" s="67">
        <f>+D23</f>
        <v>6971</v>
      </c>
      <c r="F23" s="21">
        <f>+E23</f>
        <v>6971</v>
      </c>
    </row>
    <row r="25" spans="2:8" ht="15" x14ac:dyDescent="0.25">
      <c r="H25" s="92"/>
    </row>
    <row r="26" spans="2:8" ht="15" x14ac:dyDescent="0.25">
      <c r="G26" s="9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1"/>
  <sheetViews>
    <sheetView showGridLines="0" zoomScale="50" zoomScaleNormal="50" workbookViewId="0">
      <selection activeCell="X40" sqref="X40"/>
    </sheetView>
  </sheetViews>
  <sheetFormatPr baseColWidth="10" defaultRowHeight="14.4" x14ac:dyDescent="0.3"/>
  <cols>
    <col min="1" max="1" width="4.5546875" customWidth="1"/>
    <col min="2" max="2" width="57.88671875" style="1" bestFit="1" customWidth="1"/>
    <col min="3" max="14" width="21" bestFit="1" customWidth="1"/>
    <col min="15" max="17" width="17.88671875" bestFit="1" customWidth="1"/>
    <col min="18" max="26" width="20.109375" bestFit="1" customWidth="1"/>
  </cols>
  <sheetData>
    <row r="1" spans="2:26" ht="21" x14ac:dyDescent="0.25">
      <c r="B1" s="3"/>
    </row>
    <row r="2" spans="2:26" ht="15.75" thickBot="1" x14ac:dyDescent="0.3">
      <c r="Z2" s="98"/>
    </row>
    <row r="3" spans="2:26" s="2" customFormat="1" ht="40.5" customHeight="1" thickBot="1" x14ac:dyDescent="0.3">
      <c r="C3" s="105" t="s">
        <v>77</v>
      </c>
      <c r="D3" s="61" t="s">
        <v>78</v>
      </c>
      <c r="E3" s="61" t="s">
        <v>79</v>
      </c>
      <c r="F3" s="61" t="s">
        <v>80</v>
      </c>
      <c r="G3" s="61" t="s">
        <v>69</v>
      </c>
      <c r="H3" s="61" t="s">
        <v>70</v>
      </c>
      <c r="I3" s="61" t="s">
        <v>71</v>
      </c>
      <c r="J3" s="61" t="s">
        <v>72</v>
      </c>
      <c r="K3" s="61" t="s">
        <v>73</v>
      </c>
      <c r="L3" s="61" t="s">
        <v>74</v>
      </c>
      <c r="M3" s="61" t="s">
        <v>75</v>
      </c>
      <c r="N3" s="61" t="s">
        <v>76</v>
      </c>
      <c r="O3" s="61" t="s">
        <v>77</v>
      </c>
      <c r="P3" s="61" t="s">
        <v>78</v>
      </c>
      <c r="Q3" s="61" t="s">
        <v>79</v>
      </c>
      <c r="R3" s="61" t="s">
        <v>80</v>
      </c>
      <c r="S3" s="61" t="s">
        <v>69</v>
      </c>
      <c r="T3" s="61" t="s">
        <v>70</v>
      </c>
      <c r="U3" s="61" t="s">
        <v>71</v>
      </c>
      <c r="V3" s="61" t="s">
        <v>72</v>
      </c>
      <c r="W3" s="61" t="s">
        <v>73</v>
      </c>
      <c r="X3" s="61" t="s">
        <v>74</v>
      </c>
      <c r="Y3" s="93" t="s">
        <v>75</v>
      </c>
      <c r="Z3" s="97" t="s">
        <v>76</v>
      </c>
    </row>
    <row r="4" spans="2:26" s="2" customFormat="1" ht="40.5" customHeight="1" thickBot="1" x14ac:dyDescent="0.3">
      <c r="B4" s="56" t="s">
        <v>27</v>
      </c>
      <c r="C4" s="106">
        <v>0</v>
      </c>
      <c r="D4" s="30">
        <f>+C41</f>
        <v>-21567.211666666662</v>
      </c>
      <c r="E4" s="30">
        <f t="shared" ref="E4:N4" si="0">+D41</f>
        <v>-39323.039999999994</v>
      </c>
      <c r="F4" s="30">
        <f t="shared" si="0"/>
        <v>-42078.868333333332</v>
      </c>
      <c r="G4" s="30">
        <f t="shared" si="0"/>
        <v>-27768.03</v>
      </c>
      <c r="H4" s="30">
        <f t="shared" si="0"/>
        <v>-10123.858333333334</v>
      </c>
      <c r="I4" s="30">
        <f t="shared" si="0"/>
        <v>7520.3133333333317</v>
      </c>
      <c r="J4" s="30">
        <f t="shared" si="0"/>
        <v>21905.456666666665</v>
      </c>
      <c r="K4" s="30">
        <f t="shared" si="0"/>
        <v>39623.933333333334</v>
      </c>
      <c r="L4" s="30">
        <f t="shared" si="0"/>
        <v>57342.41</v>
      </c>
      <c r="M4" s="30">
        <f t="shared" si="0"/>
        <v>54660.886666666673</v>
      </c>
      <c r="N4" s="30">
        <f t="shared" si="0"/>
        <v>51979.363333333342</v>
      </c>
      <c r="O4" s="30">
        <f>+N41</f>
        <v>49297.840000000011</v>
      </c>
      <c r="P4" s="30">
        <f t="shared" ref="P4:Z4" si="1">+O41</f>
        <v>49702.27583333334</v>
      </c>
      <c r="Q4" s="30">
        <f t="shared" si="1"/>
        <v>56792.378333333334</v>
      </c>
      <c r="R4" s="30">
        <f t="shared" si="1"/>
        <v>83882.480833333335</v>
      </c>
      <c r="S4" s="30">
        <f t="shared" si="1"/>
        <v>178225.91666666666</v>
      </c>
      <c r="T4" s="30">
        <f t="shared" si="1"/>
        <v>279236.01916666667</v>
      </c>
      <c r="U4" s="30">
        <f t="shared" si="1"/>
        <v>380246.1216666667</v>
      </c>
      <c r="V4" s="30">
        <f t="shared" si="1"/>
        <v>474589.5575</v>
      </c>
      <c r="W4" s="30">
        <f t="shared" si="1"/>
        <v>575599.66</v>
      </c>
      <c r="X4" s="30">
        <f t="shared" si="1"/>
        <v>676609.76250000007</v>
      </c>
      <c r="Y4" s="94">
        <f t="shared" si="1"/>
        <v>703699.86500000011</v>
      </c>
      <c r="Z4" s="96">
        <f t="shared" si="1"/>
        <v>730789.96750000014</v>
      </c>
    </row>
    <row r="5" spans="2:26" s="2" customFormat="1" ht="40.5" customHeight="1" x14ac:dyDescent="0.25">
      <c r="B5" s="57" t="s">
        <v>28</v>
      </c>
      <c r="C5" s="107">
        <v>15300</v>
      </c>
      <c r="D5" s="31">
        <v>15300</v>
      </c>
      <c r="E5" s="31">
        <v>15300</v>
      </c>
      <c r="F5" s="31">
        <v>35700</v>
      </c>
      <c r="G5" s="31">
        <v>35700</v>
      </c>
      <c r="H5" s="31">
        <v>35700</v>
      </c>
      <c r="I5" s="31">
        <v>35700</v>
      </c>
      <c r="J5" s="31">
        <v>35700</v>
      </c>
      <c r="K5" s="31">
        <v>35700</v>
      </c>
      <c r="L5" s="31">
        <v>15300</v>
      </c>
      <c r="M5" s="31">
        <v>15300</v>
      </c>
      <c r="N5" s="31">
        <v>15300</v>
      </c>
      <c r="O5" s="31">
        <v>55440</v>
      </c>
      <c r="P5" s="31">
        <v>55440</v>
      </c>
      <c r="Q5" s="31">
        <v>55440</v>
      </c>
      <c r="R5" s="31">
        <v>129360</v>
      </c>
      <c r="S5" s="31">
        <v>129360</v>
      </c>
      <c r="T5" s="31">
        <v>129360</v>
      </c>
      <c r="U5" s="31">
        <v>129360</v>
      </c>
      <c r="V5" s="31">
        <v>129360</v>
      </c>
      <c r="W5" s="31">
        <v>129360</v>
      </c>
      <c r="X5" s="31">
        <v>55440</v>
      </c>
      <c r="Y5" s="99">
        <v>55440</v>
      </c>
      <c r="Z5" s="100">
        <v>55440</v>
      </c>
    </row>
    <row r="6" spans="2:26" s="2" customFormat="1" ht="40.5" customHeight="1" x14ac:dyDescent="0.25">
      <c r="B6" s="58" t="s">
        <v>29</v>
      </c>
      <c r="C6" s="108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3"/>
    </row>
    <row r="7" spans="2:26" s="2" customFormat="1" ht="40.5" customHeight="1" x14ac:dyDescent="0.25">
      <c r="B7" s="58" t="s">
        <v>30</v>
      </c>
      <c r="C7" s="108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3"/>
    </row>
    <row r="8" spans="2:26" s="2" customFormat="1" ht="40.5" customHeight="1" x14ac:dyDescent="0.25">
      <c r="B8" s="58" t="s">
        <v>31</v>
      </c>
      <c r="C8" s="108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3"/>
    </row>
    <row r="9" spans="2:26" s="2" customFormat="1" ht="40.5" customHeight="1" x14ac:dyDescent="0.3">
      <c r="B9" s="58" t="s">
        <v>32</v>
      </c>
      <c r="C9" s="108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3"/>
    </row>
    <row r="10" spans="2:26" s="2" customFormat="1" ht="40.5" customHeight="1" thickBot="1" x14ac:dyDescent="0.35">
      <c r="B10" s="59" t="s">
        <v>33</v>
      </c>
      <c r="C10" s="109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101"/>
      <c r="Z10" s="102"/>
    </row>
    <row r="11" spans="2:26" s="2" customFormat="1" ht="40.5" customHeight="1" thickBot="1" x14ac:dyDescent="0.3">
      <c r="B11" s="56" t="s">
        <v>34</v>
      </c>
      <c r="C11" s="106">
        <f>+SUM(C5:C10)</f>
        <v>15300</v>
      </c>
      <c r="D11" s="30">
        <f t="shared" ref="D11:N11" si="2">+SUM(D5:D10)</f>
        <v>15300</v>
      </c>
      <c r="E11" s="30">
        <f t="shared" si="2"/>
        <v>15300</v>
      </c>
      <c r="F11" s="30">
        <f t="shared" si="2"/>
        <v>35700</v>
      </c>
      <c r="G11" s="30">
        <f t="shared" si="2"/>
        <v>35700</v>
      </c>
      <c r="H11" s="30">
        <f t="shared" si="2"/>
        <v>35700</v>
      </c>
      <c r="I11" s="30">
        <f t="shared" si="2"/>
        <v>35700</v>
      </c>
      <c r="J11" s="30">
        <f t="shared" si="2"/>
        <v>35700</v>
      </c>
      <c r="K11" s="30">
        <f t="shared" si="2"/>
        <v>35700</v>
      </c>
      <c r="L11" s="30">
        <f t="shared" si="2"/>
        <v>15300</v>
      </c>
      <c r="M11" s="30">
        <f t="shared" si="2"/>
        <v>15300</v>
      </c>
      <c r="N11" s="30">
        <f t="shared" si="2"/>
        <v>15300</v>
      </c>
      <c r="O11" s="30">
        <f t="shared" ref="O11" si="3">+SUM(O5:O10)</f>
        <v>55440</v>
      </c>
      <c r="P11" s="30">
        <f t="shared" ref="P11" si="4">+SUM(P5:P10)</f>
        <v>55440</v>
      </c>
      <c r="Q11" s="30">
        <f t="shared" ref="Q11" si="5">+SUM(Q5:Q10)</f>
        <v>55440</v>
      </c>
      <c r="R11" s="30">
        <f t="shared" ref="R11" si="6">+SUM(R5:R10)</f>
        <v>129360</v>
      </c>
      <c r="S11" s="30">
        <f t="shared" ref="S11" si="7">+SUM(S5:S10)</f>
        <v>129360</v>
      </c>
      <c r="T11" s="30">
        <f t="shared" ref="T11" si="8">+SUM(T5:T10)</f>
        <v>129360</v>
      </c>
      <c r="U11" s="30">
        <f t="shared" ref="U11" si="9">+SUM(U5:U10)</f>
        <v>129360</v>
      </c>
      <c r="V11" s="30">
        <f t="shared" ref="V11" si="10">+SUM(V5:V10)</f>
        <v>129360</v>
      </c>
      <c r="W11" s="30">
        <f t="shared" ref="W11" si="11">+SUM(W5:W10)</f>
        <v>129360</v>
      </c>
      <c r="X11" s="30">
        <f t="shared" ref="X11" si="12">+SUM(X5:X10)</f>
        <v>55440</v>
      </c>
      <c r="Y11" s="94">
        <f t="shared" ref="Y11" si="13">+SUM(Y5:Y10)</f>
        <v>55440</v>
      </c>
      <c r="Z11" s="95">
        <f t="shared" ref="Z11" si="14">+SUM(Z5:Z10)</f>
        <v>55440</v>
      </c>
    </row>
    <row r="12" spans="2:26" s="2" customFormat="1" ht="40.5" customHeight="1" x14ac:dyDescent="0.25">
      <c r="B12" s="57" t="s">
        <v>35</v>
      </c>
      <c r="C12" s="107">
        <v>5279.25</v>
      </c>
      <c r="D12" s="31">
        <v>5279.25</v>
      </c>
      <c r="E12" s="31">
        <v>5279.25</v>
      </c>
      <c r="F12" s="31">
        <v>5279.25</v>
      </c>
      <c r="G12" s="31">
        <v>5279.25</v>
      </c>
      <c r="H12" s="31">
        <v>5279.25</v>
      </c>
      <c r="I12" s="31">
        <v>5279.25</v>
      </c>
      <c r="J12" s="31">
        <v>5279.25</v>
      </c>
      <c r="K12" s="31">
        <v>5279.25</v>
      </c>
      <c r="L12" s="31">
        <v>5279.25</v>
      </c>
      <c r="M12" s="31">
        <v>5279.25</v>
      </c>
      <c r="N12" s="31">
        <v>5279.25</v>
      </c>
      <c r="O12" s="31">
        <v>6335.0999999999995</v>
      </c>
      <c r="P12" s="31">
        <v>6335.0999999999995</v>
      </c>
      <c r="Q12" s="31">
        <v>6335.0999999999995</v>
      </c>
      <c r="R12" s="31">
        <v>6335.0999999999995</v>
      </c>
      <c r="S12" s="31">
        <v>6335.0999999999995</v>
      </c>
      <c r="T12" s="31">
        <v>6335.0999999999995</v>
      </c>
      <c r="U12" s="31">
        <v>6335.0999999999995</v>
      </c>
      <c r="V12" s="31">
        <v>6335.0999999999995</v>
      </c>
      <c r="W12" s="31">
        <v>6335.0999999999995</v>
      </c>
      <c r="X12" s="31">
        <v>6335.0999999999995</v>
      </c>
      <c r="Y12" s="99">
        <v>6335.0999999999995</v>
      </c>
      <c r="Z12" s="100">
        <v>6335.0999999999995</v>
      </c>
    </row>
    <row r="13" spans="2:26" s="2" customFormat="1" ht="40.5" customHeight="1" x14ac:dyDescent="0.25">
      <c r="B13" s="58" t="s">
        <v>36</v>
      </c>
      <c r="C13" s="108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3"/>
    </row>
    <row r="14" spans="2:26" s="2" customFormat="1" ht="40.5" customHeight="1" x14ac:dyDescent="0.25">
      <c r="B14" s="58" t="s">
        <v>37</v>
      </c>
      <c r="C14" s="108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3"/>
    </row>
    <row r="15" spans="2:26" s="2" customFormat="1" ht="40.5" customHeight="1" x14ac:dyDescent="0.25">
      <c r="B15" s="58" t="s">
        <v>38</v>
      </c>
      <c r="C15" s="108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3"/>
    </row>
    <row r="16" spans="2:26" s="2" customFormat="1" ht="40.5" customHeight="1" x14ac:dyDescent="0.25">
      <c r="B16" s="58" t="s">
        <v>39</v>
      </c>
      <c r="C16" s="108">
        <v>3812.5000000000005</v>
      </c>
      <c r="D16" s="32">
        <v>3812.5000000000005</v>
      </c>
      <c r="E16" s="32">
        <v>3812.5000000000005</v>
      </c>
      <c r="F16" s="32">
        <v>3812.5000000000005</v>
      </c>
      <c r="G16" s="32">
        <v>3812.5000000000005</v>
      </c>
      <c r="H16" s="32">
        <v>3812.5000000000005</v>
      </c>
      <c r="I16" s="32">
        <v>3812.5000000000005</v>
      </c>
      <c r="J16" s="32">
        <v>3812.5000000000005</v>
      </c>
      <c r="K16" s="32">
        <v>3812.5000000000005</v>
      </c>
      <c r="L16" s="32">
        <v>3812.5000000000005</v>
      </c>
      <c r="M16" s="32">
        <v>3812.5000000000005</v>
      </c>
      <c r="N16" s="32">
        <v>3812.5000000000005</v>
      </c>
      <c r="O16" s="32">
        <v>6862.5</v>
      </c>
      <c r="P16" s="32">
        <v>6862.5</v>
      </c>
      <c r="Q16" s="32">
        <v>6862.5</v>
      </c>
      <c r="R16" s="32">
        <v>6862.5</v>
      </c>
      <c r="S16" s="32">
        <v>6862.5</v>
      </c>
      <c r="T16" s="32">
        <v>6862.5</v>
      </c>
      <c r="U16" s="32">
        <v>6862.5</v>
      </c>
      <c r="V16" s="32">
        <v>6862.5</v>
      </c>
      <c r="W16" s="32">
        <v>6862.5</v>
      </c>
      <c r="X16" s="32">
        <v>6862.5</v>
      </c>
      <c r="Y16" s="32">
        <v>6862.5</v>
      </c>
      <c r="Z16" s="33">
        <v>6862.5</v>
      </c>
    </row>
    <row r="17" spans="2:26" s="2" customFormat="1" ht="40.5" customHeight="1" x14ac:dyDescent="0.25">
      <c r="B17" s="58" t="s">
        <v>40</v>
      </c>
      <c r="C17" s="108">
        <v>354.16666666666652</v>
      </c>
      <c r="D17" s="32">
        <v>354.16666666666652</v>
      </c>
      <c r="E17" s="32">
        <v>354.16666666666652</v>
      </c>
      <c r="F17" s="32">
        <v>354.16666666666652</v>
      </c>
      <c r="G17" s="32">
        <v>354.16666666666652</v>
      </c>
      <c r="H17" s="32">
        <v>354.16666666666652</v>
      </c>
      <c r="I17" s="32">
        <v>354.16666666666652</v>
      </c>
      <c r="J17" s="32">
        <v>354.16666666666652</v>
      </c>
      <c r="K17" s="32">
        <v>354.16666666666652</v>
      </c>
      <c r="L17" s="32">
        <v>354.16666666666652</v>
      </c>
      <c r="M17" s="32">
        <v>354.16666666666652</v>
      </c>
      <c r="N17" s="32">
        <v>354.16666666666652</v>
      </c>
      <c r="O17" s="32">
        <v>637.5</v>
      </c>
      <c r="P17" s="32">
        <v>637.5</v>
      </c>
      <c r="Q17" s="32">
        <v>637.5</v>
      </c>
      <c r="R17" s="32">
        <v>637.5</v>
      </c>
      <c r="S17" s="32">
        <v>637.5</v>
      </c>
      <c r="T17" s="32">
        <v>637.5</v>
      </c>
      <c r="U17" s="32">
        <v>637.5</v>
      </c>
      <c r="V17" s="32">
        <v>637.5</v>
      </c>
      <c r="W17" s="32">
        <v>637.5</v>
      </c>
      <c r="X17" s="32">
        <v>637.5</v>
      </c>
      <c r="Y17" s="32">
        <v>637.5</v>
      </c>
      <c r="Z17" s="33">
        <v>637.5</v>
      </c>
    </row>
    <row r="18" spans="2:26" s="2" customFormat="1" ht="40.5" customHeight="1" x14ac:dyDescent="0.25">
      <c r="B18" s="58" t="s">
        <v>41</v>
      </c>
      <c r="C18" s="108">
        <f>+'GASTOS DE EXPLOTACION'!$C$21/12</f>
        <v>3629.9524999999999</v>
      </c>
      <c r="D18" s="32">
        <f>+'GASTOS DE EXPLOTACION'!$C$21/12</f>
        <v>3629.9524999999999</v>
      </c>
      <c r="E18" s="32">
        <f>+'GASTOS DE EXPLOTACION'!$C$21/12</f>
        <v>3629.9524999999999</v>
      </c>
      <c r="F18" s="32">
        <f>+'GASTOS DE EXPLOTACION'!$C$21/12</f>
        <v>3629.9524999999999</v>
      </c>
      <c r="G18" s="32">
        <f>+'GASTOS DE EXPLOTACION'!$C$21/12</f>
        <v>3629.9524999999999</v>
      </c>
      <c r="H18" s="32">
        <f>+'GASTOS DE EXPLOTACION'!$C$21/12</f>
        <v>3629.9524999999999</v>
      </c>
      <c r="I18" s="32">
        <f>+'GASTOS DE EXPLOTACION'!$C$21/12</f>
        <v>3629.9524999999999</v>
      </c>
      <c r="J18" s="32">
        <f>+'GASTOS DE EXPLOTACION'!$C$21/12</f>
        <v>3629.9524999999999</v>
      </c>
      <c r="K18" s="32">
        <f>+'GASTOS DE EXPLOTACION'!$C$21/12</f>
        <v>3629.9524999999999</v>
      </c>
      <c r="L18" s="32">
        <f>+'GASTOS DE EXPLOTACION'!$C$21/12</f>
        <v>3629.9524999999999</v>
      </c>
      <c r="M18" s="32">
        <f>+'GASTOS DE EXPLOTACION'!$C$21/12</f>
        <v>3629.9524999999999</v>
      </c>
      <c r="N18" s="32">
        <f>+'GASTOS DE EXPLOTACION'!$C$21/12</f>
        <v>3629.9524999999999</v>
      </c>
      <c r="O18" s="32">
        <f>+'GASTOS DE EXPLOTACION'!$D$21/12</f>
        <v>5000</v>
      </c>
      <c r="P18" s="32">
        <f>+'GASTOS DE EXPLOTACION'!$D$21/12</f>
        <v>5000</v>
      </c>
      <c r="Q18" s="32">
        <f>+'GASTOS DE EXPLOTACION'!$D$21/12</f>
        <v>5000</v>
      </c>
      <c r="R18" s="32">
        <f>+'GASTOS DE EXPLOTACION'!$D$21/12</f>
        <v>5000</v>
      </c>
      <c r="S18" s="32">
        <f>+'GASTOS DE EXPLOTACION'!$D$21/12</f>
        <v>5000</v>
      </c>
      <c r="T18" s="32">
        <f>+'GASTOS DE EXPLOTACION'!$D$21/12</f>
        <v>5000</v>
      </c>
      <c r="U18" s="32">
        <f>+'GASTOS DE EXPLOTACION'!$D$21/12</f>
        <v>5000</v>
      </c>
      <c r="V18" s="32">
        <f>+'GASTOS DE EXPLOTACION'!$D$21/12</f>
        <v>5000</v>
      </c>
      <c r="W18" s="32">
        <f>+'GASTOS DE EXPLOTACION'!$D$21/12</f>
        <v>5000</v>
      </c>
      <c r="X18" s="32">
        <f>+'GASTOS DE EXPLOTACION'!$D$21/12</f>
        <v>5000</v>
      </c>
      <c r="Y18" s="32">
        <f>+'GASTOS DE EXPLOTACION'!$D$21/12</f>
        <v>5000</v>
      </c>
      <c r="Z18" s="33">
        <f>+'GASTOS DE EXPLOTACION'!$D$21/12</f>
        <v>5000</v>
      </c>
    </row>
    <row r="19" spans="2:26" s="2" customFormat="1" ht="40.5" customHeight="1" x14ac:dyDescent="0.25">
      <c r="B19" s="58" t="s">
        <v>42</v>
      </c>
      <c r="C19" s="108">
        <f>+'GASTOS DE EXPLOTACION'!$C$23/12</f>
        <v>504</v>
      </c>
      <c r="D19" s="32">
        <f>+'GASTOS DE EXPLOTACION'!$C$23/12</f>
        <v>504</v>
      </c>
      <c r="E19" s="32">
        <f>+'GASTOS DE EXPLOTACION'!$C$23/12</f>
        <v>504</v>
      </c>
      <c r="F19" s="32">
        <f>+'GASTOS DE EXPLOTACION'!$C$23/12</f>
        <v>504</v>
      </c>
      <c r="G19" s="32">
        <f>+'GASTOS DE EXPLOTACION'!$C$23/12</f>
        <v>504</v>
      </c>
      <c r="H19" s="32">
        <f>+'GASTOS DE EXPLOTACION'!$C$23/12</f>
        <v>504</v>
      </c>
      <c r="I19" s="32">
        <f>+'GASTOS DE EXPLOTACION'!$C$23/12</f>
        <v>504</v>
      </c>
      <c r="J19" s="32">
        <f>+'GASTOS DE EXPLOTACION'!$C$23/12</f>
        <v>504</v>
      </c>
      <c r="K19" s="32">
        <f>+'GASTOS DE EXPLOTACION'!$C$23/12</f>
        <v>504</v>
      </c>
      <c r="L19" s="32">
        <f>+'GASTOS DE EXPLOTACION'!$C$23/12</f>
        <v>504</v>
      </c>
      <c r="M19" s="32">
        <f>+'GASTOS DE EXPLOTACION'!$C$23/12</f>
        <v>504</v>
      </c>
      <c r="N19" s="32">
        <f>+'GASTOS DE EXPLOTACION'!$C$23/12</f>
        <v>504</v>
      </c>
      <c r="O19" s="32">
        <f>+'GASTOS DE EXPLOTACION'!$D$23/12</f>
        <v>580.91666666666663</v>
      </c>
      <c r="P19" s="32">
        <f>+'GASTOS DE EXPLOTACION'!$D$23/12</f>
        <v>580.91666666666663</v>
      </c>
      <c r="Q19" s="32">
        <f>+'GASTOS DE EXPLOTACION'!$D$23/12</f>
        <v>580.91666666666663</v>
      </c>
      <c r="R19" s="32">
        <f>+'GASTOS DE EXPLOTACION'!$D$23/12</f>
        <v>580.91666666666663</v>
      </c>
      <c r="S19" s="32">
        <f>+'GASTOS DE EXPLOTACION'!$D$23/12</f>
        <v>580.91666666666663</v>
      </c>
      <c r="T19" s="32">
        <f>+'GASTOS DE EXPLOTACION'!$D$23/12</f>
        <v>580.91666666666663</v>
      </c>
      <c r="U19" s="32">
        <f>+'GASTOS DE EXPLOTACION'!$D$23/12</f>
        <v>580.91666666666663</v>
      </c>
      <c r="V19" s="32">
        <f>+'GASTOS DE EXPLOTACION'!$D$23/12</f>
        <v>580.91666666666663</v>
      </c>
      <c r="W19" s="32">
        <f>+'GASTOS DE EXPLOTACION'!$D$23/12</f>
        <v>580.91666666666663</v>
      </c>
      <c r="X19" s="32">
        <f>+'GASTOS DE EXPLOTACION'!$D$23/12</f>
        <v>580.91666666666663</v>
      </c>
      <c r="Y19" s="32">
        <f>+'GASTOS DE EXPLOTACION'!$D$23/12</f>
        <v>580.91666666666663</v>
      </c>
      <c r="Z19" s="33">
        <f>+'GASTOS DE EXPLOTACION'!$D$23/12</f>
        <v>580.91666666666663</v>
      </c>
    </row>
    <row r="20" spans="2:26" s="2" customFormat="1" ht="40.5" customHeight="1" x14ac:dyDescent="0.25">
      <c r="B20" s="58" t="s">
        <v>43</v>
      </c>
      <c r="C20" s="108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3"/>
    </row>
    <row r="21" spans="2:26" s="2" customFormat="1" ht="40.5" customHeight="1" x14ac:dyDescent="0.25">
      <c r="B21" s="58" t="s">
        <v>44</v>
      </c>
      <c r="C21" s="108">
        <f>+'GASTOS DE EXPLOTACION'!C16</f>
        <v>11.22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>
        <f>+'GASTOS DE EXPLOTACION'!D16</f>
        <v>19</v>
      </c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3"/>
    </row>
    <row r="22" spans="2:26" s="2" customFormat="1" ht="40.5" customHeight="1" x14ac:dyDescent="0.3">
      <c r="B22" s="58" t="s">
        <v>45</v>
      </c>
      <c r="C22" s="108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3"/>
    </row>
    <row r="23" spans="2:26" s="2" customFormat="1" ht="40.5" customHeight="1" x14ac:dyDescent="0.25">
      <c r="B23" s="58" t="s">
        <v>13</v>
      </c>
      <c r="C23" s="108">
        <f>+'GASTOS DE EXPLOTACION'!$C$9/12</f>
        <v>560.96416666666664</v>
      </c>
      <c r="D23" s="32">
        <f>+'GASTOS DE EXPLOTACION'!$C$9/12</f>
        <v>560.96416666666664</v>
      </c>
      <c r="E23" s="32">
        <f>+'GASTOS DE EXPLOTACION'!$C$9/12</f>
        <v>560.96416666666664</v>
      </c>
      <c r="F23" s="32">
        <f>+'GASTOS DE EXPLOTACION'!$C$9/12</f>
        <v>560.96416666666664</v>
      </c>
      <c r="G23" s="32">
        <f>+'GASTOS DE EXPLOTACION'!$C$9/12</f>
        <v>560.96416666666664</v>
      </c>
      <c r="H23" s="32">
        <f>+'GASTOS DE EXPLOTACION'!$C$9/12</f>
        <v>560.96416666666664</v>
      </c>
      <c r="I23" s="32">
        <f>+'GASTOS DE EXPLOTACION'!$C$9/12</f>
        <v>560.96416666666664</v>
      </c>
      <c r="J23" s="32">
        <f>+'GASTOS DE EXPLOTACION'!$C$9/12</f>
        <v>560.96416666666664</v>
      </c>
      <c r="K23" s="32">
        <f>+'GASTOS DE EXPLOTACION'!$C$9/12</f>
        <v>560.96416666666664</v>
      </c>
      <c r="L23" s="32">
        <f>+'GASTOS DE EXPLOTACION'!$C$9/12</f>
        <v>560.96416666666664</v>
      </c>
      <c r="M23" s="32">
        <f>+'GASTOS DE EXPLOTACION'!$C$9/12</f>
        <v>560.96416666666664</v>
      </c>
      <c r="N23" s="32">
        <f>+'GASTOS DE EXPLOTACION'!$C$9/12</f>
        <v>560.96416666666664</v>
      </c>
      <c r="O23" s="32">
        <f>+'GASTOS DE EXPLOTACION'!$D$9/12</f>
        <v>144.29749999999999</v>
      </c>
      <c r="P23" s="32">
        <f>+'GASTOS DE EXPLOTACION'!$D$9/12</f>
        <v>144.29749999999999</v>
      </c>
      <c r="Q23" s="32">
        <f>+'GASTOS DE EXPLOTACION'!$D$9/12</f>
        <v>144.29749999999999</v>
      </c>
      <c r="R23" s="32">
        <f>+'GASTOS DE EXPLOTACION'!$D$9/12</f>
        <v>144.29749999999999</v>
      </c>
      <c r="S23" s="32">
        <f>+'GASTOS DE EXPLOTACION'!$D$9/12</f>
        <v>144.29749999999999</v>
      </c>
      <c r="T23" s="32">
        <f>+'GASTOS DE EXPLOTACION'!$D$9/12</f>
        <v>144.29749999999999</v>
      </c>
      <c r="U23" s="32">
        <f>+'GASTOS DE EXPLOTACION'!$D$9/12</f>
        <v>144.29749999999999</v>
      </c>
      <c r="V23" s="32">
        <f>+'GASTOS DE EXPLOTACION'!$D$9/12</f>
        <v>144.29749999999999</v>
      </c>
      <c r="W23" s="32">
        <f>+'GASTOS DE EXPLOTACION'!$D$9/12</f>
        <v>144.29749999999999</v>
      </c>
      <c r="X23" s="32">
        <f>+'GASTOS DE EXPLOTACION'!$D$9/12</f>
        <v>144.29749999999999</v>
      </c>
      <c r="Y23" s="32">
        <f>+'GASTOS DE EXPLOTACION'!$D$9/12</f>
        <v>144.29749999999999</v>
      </c>
      <c r="Z23" s="33">
        <f>+'GASTOS DE EXPLOTACION'!$D$9/12</f>
        <v>144.29749999999999</v>
      </c>
    </row>
    <row r="24" spans="2:26" s="2" customFormat="1" ht="40.5" customHeight="1" x14ac:dyDescent="0.3">
      <c r="B24" s="58" t="s">
        <v>15</v>
      </c>
      <c r="C24" s="108">
        <f>+'GASTOS DE EXPLOTACION'!C11</f>
        <v>445.83</v>
      </c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3"/>
    </row>
    <row r="25" spans="2:26" s="2" customFormat="1" ht="40.5" customHeight="1" x14ac:dyDescent="0.3">
      <c r="B25" s="58" t="s">
        <v>11</v>
      </c>
      <c r="C25" s="108">
        <f>+'GASTOS DE EXPLOTACION'!$C$7/12</f>
        <v>323.69</v>
      </c>
      <c r="D25" s="32">
        <f>+'GASTOS DE EXPLOTACION'!$C$7/12</f>
        <v>323.69</v>
      </c>
      <c r="E25" s="32">
        <f>+'GASTOS DE EXPLOTACION'!$C$7/12</f>
        <v>323.69</v>
      </c>
      <c r="F25" s="32">
        <f>+'GASTOS DE EXPLOTACION'!$C$7/12</f>
        <v>323.69</v>
      </c>
      <c r="G25" s="32">
        <f>+'GASTOS DE EXPLOTACION'!$C$7/12</f>
        <v>323.69</v>
      </c>
      <c r="H25" s="32">
        <f>+'GASTOS DE EXPLOTACION'!$C$7/12</f>
        <v>323.69</v>
      </c>
      <c r="I25" s="32">
        <f>+'GASTOS DE EXPLOTACION'!$C$7/12</f>
        <v>323.69</v>
      </c>
      <c r="J25" s="32">
        <f>+'GASTOS DE EXPLOTACION'!$C$7/12</f>
        <v>323.69</v>
      </c>
      <c r="K25" s="32">
        <f>+'GASTOS DE EXPLOTACION'!$C$7/12</f>
        <v>323.69</v>
      </c>
      <c r="L25" s="32">
        <f>+'GASTOS DE EXPLOTACION'!$C$7/12</f>
        <v>323.69</v>
      </c>
      <c r="M25" s="32">
        <f>+'GASTOS DE EXPLOTACION'!$C$7/12</f>
        <v>323.69</v>
      </c>
      <c r="N25" s="32">
        <f>+'GASTOS DE EXPLOTACION'!$C$7/12</f>
        <v>323.69</v>
      </c>
      <c r="O25" s="32">
        <f>+'GASTOS DE EXPLOTACION'!$D$7/12</f>
        <v>323.66666666666669</v>
      </c>
      <c r="P25" s="32">
        <f>+'GASTOS DE EXPLOTACION'!$D$7/12</f>
        <v>323.66666666666669</v>
      </c>
      <c r="Q25" s="32">
        <f>+'GASTOS DE EXPLOTACION'!$D$7/12</f>
        <v>323.66666666666669</v>
      </c>
      <c r="R25" s="32">
        <f>+'GASTOS DE EXPLOTACION'!$D$7/12</f>
        <v>323.66666666666669</v>
      </c>
      <c r="S25" s="32">
        <f>+'GASTOS DE EXPLOTACION'!$D$7/12</f>
        <v>323.66666666666669</v>
      </c>
      <c r="T25" s="32">
        <f>+'GASTOS DE EXPLOTACION'!$D$7/12</f>
        <v>323.66666666666669</v>
      </c>
      <c r="U25" s="32">
        <f>+'GASTOS DE EXPLOTACION'!$D$7/12</f>
        <v>323.66666666666669</v>
      </c>
      <c r="V25" s="32">
        <f>+'GASTOS DE EXPLOTACION'!$D$7/12</f>
        <v>323.66666666666669</v>
      </c>
      <c r="W25" s="32">
        <f>+'GASTOS DE EXPLOTACION'!$D$7/12</f>
        <v>323.66666666666669</v>
      </c>
      <c r="X25" s="32">
        <f>+'GASTOS DE EXPLOTACION'!$D$7/12</f>
        <v>323.66666666666669</v>
      </c>
      <c r="Y25" s="32">
        <f>+'GASTOS DE EXPLOTACION'!$D$7/12</f>
        <v>323.66666666666669</v>
      </c>
      <c r="Z25" s="33">
        <f>+'GASTOS DE EXPLOTACION'!$D$7/12</f>
        <v>323.66666666666669</v>
      </c>
    </row>
    <row r="26" spans="2:26" s="2" customFormat="1" ht="40.5" customHeight="1" x14ac:dyDescent="0.3">
      <c r="B26" s="58" t="s">
        <v>46</v>
      </c>
      <c r="C26" s="108">
        <f>+'GASTOS DE EXPLOTACION'!$C$6/2</f>
        <v>15000</v>
      </c>
      <c r="D26" s="32">
        <f>+'GASTOS DE EXPLOTACION'!$C$6/2</f>
        <v>15000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>
        <f>+'GASTOS DE EXPLOTACION'!$D$6/2</f>
        <v>20000</v>
      </c>
      <c r="P26" s="32">
        <f>+'GASTOS DE EXPLOTACION'!$D$6/2</f>
        <v>20000</v>
      </c>
      <c r="Q26" s="32"/>
      <c r="R26" s="32"/>
      <c r="S26" s="32"/>
      <c r="T26" s="32"/>
      <c r="U26" s="32"/>
      <c r="V26" s="32"/>
      <c r="W26" s="32"/>
      <c r="X26" s="32"/>
      <c r="Y26" s="32"/>
      <c r="Z26" s="33"/>
    </row>
    <row r="27" spans="2:26" s="2" customFormat="1" ht="40.5" customHeight="1" x14ac:dyDescent="0.3">
      <c r="B27" s="58" t="s">
        <v>18</v>
      </c>
      <c r="C27" s="108">
        <f>+'GASTOS DE EXPLOTACION'!$C$14/12</f>
        <v>132.58333333333334</v>
      </c>
      <c r="D27" s="32">
        <f>+'GASTOS DE EXPLOTACION'!$C$14/12</f>
        <v>132.58333333333334</v>
      </c>
      <c r="E27" s="32">
        <f>+'GASTOS DE EXPLOTACION'!$C$14/12</f>
        <v>132.58333333333334</v>
      </c>
      <c r="F27" s="32">
        <f>+'GASTOS DE EXPLOTACION'!$C$14/12</f>
        <v>132.58333333333334</v>
      </c>
      <c r="G27" s="32">
        <f>+'GASTOS DE EXPLOTACION'!$C$14/12</f>
        <v>132.58333333333334</v>
      </c>
      <c r="H27" s="32">
        <f>+'GASTOS DE EXPLOTACION'!$C$14/12</f>
        <v>132.58333333333334</v>
      </c>
      <c r="I27" s="32">
        <f>+'GASTOS DE EXPLOTACION'!$C$14/12</f>
        <v>132.58333333333334</v>
      </c>
      <c r="J27" s="32">
        <f>+'GASTOS DE EXPLOTACION'!$C$14/12</f>
        <v>132.58333333333334</v>
      </c>
      <c r="K27" s="32">
        <f>+'GASTOS DE EXPLOTACION'!$C$14/12</f>
        <v>132.58333333333334</v>
      </c>
      <c r="L27" s="32">
        <f>+'GASTOS DE EXPLOTACION'!$C$14/12</f>
        <v>132.58333333333334</v>
      </c>
      <c r="M27" s="32">
        <f>+'GASTOS DE EXPLOTACION'!$C$14/12</f>
        <v>132.58333333333334</v>
      </c>
      <c r="N27" s="32">
        <f>+'GASTOS DE EXPLOTACION'!$C$14/12</f>
        <v>132.58333333333334</v>
      </c>
      <c r="O27" s="32">
        <f>+'GASTOS DE EXPLOTACION'!$D$14/12</f>
        <v>132.58333333333334</v>
      </c>
      <c r="P27" s="32">
        <f>+'GASTOS DE EXPLOTACION'!$D$14/12</f>
        <v>132.58333333333334</v>
      </c>
      <c r="Q27" s="32">
        <f>+'GASTOS DE EXPLOTACION'!$D$14/12</f>
        <v>132.58333333333334</v>
      </c>
      <c r="R27" s="32">
        <f>+'GASTOS DE EXPLOTACION'!$D$14/12</f>
        <v>132.58333333333334</v>
      </c>
      <c r="S27" s="32">
        <f>+'GASTOS DE EXPLOTACION'!$D$14/12</f>
        <v>132.58333333333334</v>
      </c>
      <c r="T27" s="32">
        <f>+'GASTOS DE EXPLOTACION'!$D$14/12</f>
        <v>132.58333333333334</v>
      </c>
      <c r="U27" s="32">
        <f>+'GASTOS DE EXPLOTACION'!$D$14/12</f>
        <v>132.58333333333334</v>
      </c>
      <c r="V27" s="32">
        <f>+'GASTOS DE EXPLOTACION'!$D$14/12</f>
        <v>132.58333333333334</v>
      </c>
      <c r="W27" s="32">
        <f>+'GASTOS DE EXPLOTACION'!$D$14/12</f>
        <v>132.58333333333334</v>
      </c>
      <c r="X27" s="32">
        <f>+'GASTOS DE EXPLOTACION'!$D$14/12</f>
        <v>132.58333333333334</v>
      </c>
      <c r="Y27" s="32">
        <f>+'GASTOS DE EXPLOTACION'!$D$14/12</f>
        <v>132.58333333333334</v>
      </c>
      <c r="Z27" s="33">
        <f>+'GASTOS DE EXPLOTACION'!$D$14/12</f>
        <v>132.58333333333334</v>
      </c>
    </row>
    <row r="28" spans="2:26" s="2" customFormat="1" ht="40.5" customHeight="1" x14ac:dyDescent="0.3">
      <c r="B28" s="58" t="s">
        <v>19</v>
      </c>
      <c r="C28" s="108">
        <f>+'GASTOS DE EXPLOTACION'!$C$15/3</f>
        <v>3333.3333333333335</v>
      </c>
      <c r="D28" s="32"/>
      <c r="E28" s="32"/>
      <c r="F28" s="32">
        <f>+'GASTOS DE EXPLOTACION'!$C$15/3</f>
        <v>3333.3333333333335</v>
      </c>
      <c r="G28" s="32"/>
      <c r="H28" s="32"/>
      <c r="I28" s="32">
        <f>+'GASTOS DE EXPLOTACION'!$C$15/3</f>
        <v>3333.3333333333335</v>
      </c>
      <c r="J28" s="32"/>
      <c r="K28" s="32"/>
      <c r="L28" s="32"/>
      <c r="M28" s="32"/>
      <c r="N28" s="32"/>
      <c r="O28" s="32">
        <f>+'GASTOS DE EXPLOTACION'!$D$15/3</f>
        <v>6666.666666666667</v>
      </c>
      <c r="P28" s="32"/>
      <c r="Q28" s="32"/>
      <c r="R28" s="32">
        <f>+'GASTOS DE EXPLOTACION'!$D$15/3</f>
        <v>6666.666666666667</v>
      </c>
      <c r="S28" s="32"/>
      <c r="T28" s="32"/>
      <c r="U28" s="32">
        <f>+'GASTOS DE EXPLOTACION'!$D$15/3</f>
        <v>6666.666666666667</v>
      </c>
      <c r="V28" s="32"/>
      <c r="W28" s="32"/>
      <c r="X28" s="32"/>
      <c r="Y28" s="32"/>
      <c r="Z28" s="33"/>
    </row>
    <row r="29" spans="2:26" s="2" customFormat="1" ht="40.5" customHeight="1" x14ac:dyDescent="0.3">
      <c r="B29" s="58" t="s">
        <v>16</v>
      </c>
      <c r="C29" s="108">
        <f>+'GASTOS DE EXPLOTACION'!$C$12/6</f>
        <v>74.304999999999993</v>
      </c>
      <c r="D29" s="32">
        <f>+'GASTOS DE EXPLOTACION'!$C$12/6</f>
        <v>74.304999999999993</v>
      </c>
      <c r="E29" s="32">
        <f>+'GASTOS DE EXPLOTACION'!$C$12/6</f>
        <v>74.304999999999993</v>
      </c>
      <c r="F29" s="32">
        <f>+'GASTOS DE EXPLOTACION'!$C$12/6</f>
        <v>74.304999999999993</v>
      </c>
      <c r="G29" s="32">
        <f>+'GASTOS DE EXPLOTACION'!$C$12/6</f>
        <v>74.304999999999993</v>
      </c>
      <c r="H29" s="32">
        <f>+'GASTOS DE EXPLOTACION'!$C$12/6</f>
        <v>74.304999999999993</v>
      </c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3"/>
    </row>
    <row r="30" spans="2:26" s="2" customFormat="1" ht="40.5" customHeight="1" x14ac:dyDescent="0.3">
      <c r="B30" s="58" t="s">
        <v>12</v>
      </c>
      <c r="C30" s="108">
        <v>21</v>
      </c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3"/>
    </row>
    <row r="31" spans="2:26" s="2" customFormat="1" ht="40.5" customHeight="1" x14ac:dyDescent="0.3">
      <c r="B31" s="58" t="s">
        <v>14</v>
      </c>
      <c r="C31" s="108">
        <f>+'GASTOS DE EXPLOTACION'!$C$10/12</f>
        <v>1717.75</v>
      </c>
      <c r="D31" s="32">
        <f>+'GASTOS DE EXPLOTACION'!$C$10/12</f>
        <v>1717.75</v>
      </c>
      <c r="E31" s="32">
        <f>+'GASTOS DE EXPLOTACION'!$C$10/12</f>
        <v>1717.75</v>
      </c>
      <c r="F31" s="32">
        <f>+'GASTOS DE EXPLOTACION'!$C$10/12</f>
        <v>1717.75</v>
      </c>
      <c r="G31" s="32">
        <f>+'GASTOS DE EXPLOTACION'!$C$10/12</f>
        <v>1717.75</v>
      </c>
      <c r="H31" s="32">
        <f>+'GASTOS DE EXPLOTACION'!$C$10/12</f>
        <v>1717.75</v>
      </c>
      <c r="I31" s="32">
        <f>+'GASTOS DE EXPLOTACION'!$C$10/12</f>
        <v>1717.75</v>
      </c>
      <c r="J31" s="32">
        <f>+'GASTOS DE EXPLOTACION'!$C$10/12</f>
        <v>1717.75</v>
      </c>
      <c r="K31" s="32">
        <f>+'GASTOS DE EXPLOTACION'!$C$10/12</f>
        <v>1717.75</v>
      </c>
      <c r="L31" s="32">
        <f>+'GASTOS DE EXPLOTACION'!$C$10/12</f>
        <v>1717.75</v>
      </c>
      <c r="M31" s="32">
        <f>+'GASTOS DE EXPLOTACION'!$C$10/12</f>
        <v>1717.75</v>
      </c>
      <c r="N31" s="32">
        <f>+'GASTOS DE EXPLOTACION'!$C$10/12</f>
        <v>1717.75</v>
      </c>
      <c r="O31" s="32">
        <f>+'GASTOS DE EXPLOTACION'!$D$10/12</f>
        <v>5000</v>
      </c>
      <c r="P31" s="32">
        <f>+'GASTOS DE EXPLOTACION'!$D$10/12</f>
        <v>5000</v>
      </c>
      <c r="Q31" s="32">
        <f>+'GASTOS DE EXPLOTACION'!$D$10/12</f>
        <v>5000</v>
      </c>
      <c r="R31" s="32">
        <f>+'GASTOS DE EXPLOTACION'!$D$10/12</f>
        <v>5000</v>
      </c>
      <c r="S31" s="32">
        <f>+'GASTOS DE EXPLOTACION'!$D$10/12</f>
        <v>5000</v>
      </c>
      <c r="T31" s="32">
        <f>+'GASTOS DE EXPLOTACION'!$D$10/12</f>
        <v>5000</v>
      </c>
      <c r="U31" s="32">
        <f>+'GASTOS DE EXPLOTACION'!$D$10/12</f>
        <v>5000</v>
      </c>
      <c r="V31" s="32">
        <f>+'GASTOS DE EXPLOTACION'!$D$10/12</f>
        <v>5000</v>
      </c>
      <c r="W31" s="32">
        <f>+'GASTOS DE EXPLOTACION'!$D$10/12</f>
        <v>5000</v>
      </c>
      <c r="X31" s="32">
        <f>+'GASTOS DE EXPLOTACION'!$D$10/12</f>
        <v>5000</v>
      </c>
      <c r="Y31" s="32">
        <f>+'GASTOS DE EXPLOTACION'!$D$10/12</f>
        <v>5000</v>
      </c>
      <c r="Z31" s="33">
        <f>+'GASTOS DE EXPLOTACION'!$D$10/12</f>
        <v>5000</v>
      </c>
    </row>
    <row r="32" spans="2:26" s="2" customFormat="1" ht="40.5" customHeight="1" x14ac:dyDescent="0.3">
      <c r="B32" s="58" t="s">
        <v>47</v>
      </c>
      <c r="C32" s="108">
        <f>+'GASTOS DE EXPLOTACION'!$C$17/12</f>
        <v>1666.6666666666667</v>
      </c>
      <c r="D32" s="32">
        <f>+'GASTOS DE EXPLOTACION'!$C$17/12</f>
        <v>1666.6666666666667</v>
      </c>
      <c r="E32" s="32">
        <f>+'GASTOS DE EXPLOTACION'!$C$17/12</f>
        <v>1666.6666666666667</v>
      </c>
      <c r="F32" s="32">
        <f>+'GASTOS DE EXPLOTACION'!$C$17/12</f>
        <v>1666.6666666666667</v>
      </c>
      <c r="G32" s="32">
        <f>+'GASTOS DE EXPLOTACION'!$C$17/12</f>
        <v>1666.6666666666667</v>
      </c>
      <c r="H32" s="32">
        <f>+'GASTOS DE EXPLOTACION'!$C$17/12</f>
        <v>1666.6666666666667</v>
      </c>
      <c r="I32" s="32">
        <f>+'GASTOS DE EXPLOTACION'!$C$17/12</f>
        <v>1666.6666666666667</v>
      </c>
      <c r="J32" s="32">
        <f>+'GASTOS DE EXPLOTACION'!$C$17/12</f>
        <v>1666.6666666666667</v>
      </c>
      <c r="K32" s="32">
        <f>+'GASTOS DE EXPLOTACION'!$C$17/12</f>
        <v>1666.6666666666667</v>
      </c>
      <c r="L32" s="32">
        <f>+'GASTOS DE EXPLOTACION'!$C$17/12</f>
        <v>1666.6666666666667</v>
      </c>
      <c r="M32" s="32">
        <f>+'GASTOS DE EXPLOTACION'!$C$17/12</f>
        <v>1666.6666666666667</v>
      </c>
      <c r="N32" s="32">
        <f>+'GASTOS DE EXPLOTACION'!$C$17/12</f>
        <v>1666.6666666666667</v>
      </c>
      <c r="O32" s="32">
        <f>+'GASTOS DE EXPLOTACION'!$D$17/12</f>
        <v>3333.3333333333335</v>
      </c>
      <c r="P32" s="32">
        <f>+'GASTOS DE EXPLOTACION'!$D$17/12</f>
        <v>3333.3333333333335</v>
      </c>
      <c r="Q32" s="32">
        <f>+'GASTOS DE EXPLOTACION'!$D$17/12</f>
        <v>3333.3333333333335</v>
      </c>
      <c r="R32" s="32">
        <f>+'GASTOS DE EXPLOTACION'!$D$17/12</f>
        <v>3333.3333333333335</v>
      </c>
      <c r="S32" s="32">
        <f>+'GASTOS DE EXPLOTACION'!$D$17/12</f>
        <v>3333.3333333333335</v>
      </c>
      <c r="T32" s="32">
        <f>+'GASTOS DE EXPLOTACION'!$D$17/12</f>
        <v>3333.3333333333335</v>
      </c>
      <c r="U32" s="32">
        <f>+'GASTOS DE EXPLOTACION'!$D$17/12</f>
        <v>3333.3333333333335</v>
      </c>
      <c r="V32" s="32">
        <f>+'GASTOS DE EXPLOTACION'!$D$17/12</f>
        <v>3333.3333333333335</v>
      </c>
      <c r="W32" s="32">
        <f>+'GASTOS DE EXPLOTACION'!$D$17/12</f>
        <v>3333.3333333333335</v>
      </c>
      <c r="X32" s="32">
        <f>+'GASTOS DE EXPLOTACION'!$D$17/12</f>
        <v>3333.3333333333335</v>
      </c>
      <c r="Y32" s="32">
        <f>+'GASTOS DE EXPLOTACION'!$D$17/12</f>
        <v>3333.3333333333335</v>
      </c>
      <c r="Z32" s="33">
        <f>+'GASTOS DE EXPLOTACION'!$D$17/12</f>
        <v>3333.3333333333335</v>
      </c>
    </row>
    <row r="33" spans="2:26" s="2" customFormat="1" ht="40.5" customHeight="1" x14ac:dyDescent="0.3">
      <c r="B33" s="58" t="s">
        <v>48</v>
      </c>
      <c r="C33" s="108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3"/>
    </row>
    <row r="34" spans="2:26" s="2" customFormat="1" ht="40.5" customHeight="1" thickBot="1" x14ac:dyDescent="0.35">
      <c r="B34" s="59" t="s">
        <v>49</v>
      </c>
      <c r="C34" s="109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101"/>
      <c r="Z34" s="102"/>
    </row>
    <row r="35" spans="2:26" s="2" customFormat="1" ht="40.5" customHeight="1" thickBot="1" x14ac:dyDescent="0.35">
      <c r="B35" s="56" t="s">
        <v>50</v>
      </c>
      <c r="C35" s="106">
        <f>+SUM(C12:C34)</f>
        <v>36867.211666666662</v>
      </c>
      <c r="D35" s="30">
        <f t="shared" ref="D35:N35" si="15">+SUM(D12:D34)</f>
        <v>33055.828333333331</v>
      </c>
      <c r="E35" s="30">
        <f t="shared" si="15"/>
        <v>18055.828333333335</v>
      </c>
      <c r="F35" s="30">
        <f t="shared" si="15"/>
        <v>21389.161666666667</v>
      </c>
      <c r="G35" s="30">
        <f t="shared" si="15"/>
        <v>18055.828333333335</v>
      </c>
      <c r="H35" s="30">
        <f t="shared" si="15"/>
        <v>18055.828333333335</v>
      </c>
      <c r="I35" s="30">
        <f t="shared" si="15"/>
        <v>21314.856666666667</v>
      </c>
      <c r="J35" s="30">
        <f t="shared" si="15"/>
        <v>17981.523333333334</v>
      </c>
      <c r="K35" s="30">
        <f t="shared" si="15"/>
        <v>17981.523333333334</v>
      </c>
      <c r="L35" s="30">
        <f t="shared" si="15"/>
        <v>17981.523333333334</v>
      </c>
      <c r="M35" s="30">
        <f t="shared" si="15"/>
        <v>17981.523333333334</v>
      </c>
      <c r="N35" s="30">
        <f t="shared" si="15"/>
        <v>17981.523333333334</v>
      </c>
      <c r="O35" s="30">
        <f t="shared" ref="O35" si="16">+SUM(O12:O34)</f>
        <v>55035.564166666671</v>
      </c>
      <c r="P35" s="30">
        <f t="shared" ref="P35" si="17">+SUM(P12:P34)</f>
        <v>48349.897500000006</v>
      </c>
      <c r="Q35" s="30">
        <f t="shared" ref="Q35" si="18">+SUM(Q12:Q34)</f>
        <v>28349.897499999999</v>
      </c>
      <c r="R35" s="30">
        <f t="shared" ref="R35" si="19">+SUM(R12:R34)</f>
        <v>35016.564166666671</v>
      </c>
      <c r="S35" s="30">
        <f t="shared" ref="S35" si="20">+SUM(S12:S34)</f>
        <v>28349.897499999999</v>
      </c>
      <c r="T35" s="30">
        <f t="shared" ref="T35" si="21">+SUM(T12:T34)</f>
        <v>28349.897499999999</v>
      </c>
      <c r="U35" s="30">
        <f t="shared" ref="U35" si="22">+SUM(U12:U34)</f>
        <v>35016.564166666671</v>
      </c>
      <c r="V35" s="30">
        <f t="shared" ref="V35" si="23">+SUM(V12:V34)</f>
        <v>28349.897499999999</v>
      </c>
      <c r="W35" s="30">
        <f t="shared" ref="W35" si="24">+SUM(W12:W34)</f>
        <v>28349.897499999999</v>
      </c>
      <c r="X35" s="30">
        <f t="shared" ref="X35" si="25">+SUM(X12:X34)</f>
        <v>28349.897499999999</v>
      </c>
      <c r="Y35" s="94">
        <f t="shared" ref="Y35" si="26">+SUM(Y12:Y34)</f>
        <v>28349.897499999999</v>
      </c>
      <c r="Z35" s="95">
        <f t="shared" ref="Z35" si="27">+SUM(Z12:Z34)</f>
        <v>28349.897499999999</v>
      </c>
    </row>
    <row r="36" spans="2:26" s="2" customFormat="1" ht="40.5" customHeight="1" x14ac:dyDescent="0.3">
      <c r="B36" s="57" t="s">
        <v>51</v>
      </c>
      <c r="C36" s="107">
        <f>+C11-(C11/1.21)</f>
        <v>2655.3719008264452</v>
      </c>
      <c r="D36" s="31">
        <f t="shared" ref="D36:N36" si="28">+D11-(D11/1.21)</f>
        <v>2655.3719008264452</v>
      </c>
      <c r="E36" s="31">
        <f t="shared" si="28"/>
        <v>2655.3719008264452</v>
      </c>
      <c r="F36" s="31">
        <f t="shared" si="28"/>
        <v>6195.8677685950388</v>
      </c>
      <c r="G36" s="31">
        <f t="shared" si="28"/>
        <v>6195.8677685950388</v>
      </c>
      <c r="H36" s="31">
        <f t="shared" si="28"/>
        <v>6195.8677685950388</v>
      </c>
      <c r="I36" s="31">
        <f t="shared" si="28"/>
        <v>6195.8677685950388</v>
      </c>
      <c r="J36" s="31">
        <f t="shared" si="28"/>
        <v>6195.8677685950388</v>
      </c>
      <c r="K36" s="31">
        <f t="shared" si="28"/>
        <v>6195.8677685950388</v>
      </c>
      <c r="L36" s="31">
        <f t="shared" si="28"/>
        <v>2655.3719008264452</v>
      </c>
      <c r="M36" s="31">
        <f t="shared" si="28"/>
        <v>2655.3719008264452</v>
      </c>
      <c r="N36" s="31">
        <f t="shared" si="28"/>
        <v>2655.3719008264452</v>
      </c>
      <c r="O36" s="31">
        <f t="shared" ref="O36:Z36" si="29">+O11-(O11/1.21)</f>
        <v>9621.8181818181838</v>
      </c>
      <c r="P36" s="31">
        <f t="shared" si="29"/>
        <v>9621.8181818181838</v>
      </c>
      <c r="Q36" s="31">
        <f t="shared" si="29"/>
        <v>9621.8181818181838</v>
      </c>
      <c r="R36" s="31">
        <f t="shared" si="29"/>
        <v>22450.909090909088</v>
      </c>
      <c r="S36" s="31">
        <f t="shared" si="29"/>
        <v>22450.909090909088</v>
      </c>
      <c r="T36" s="31">
        <f t="shared" si="29"/>
        <v>22450.909090909088</v>
      </c>
      <c r="U36" s="31">
        <f t="shared" si="29"/>
        <v>22450.909090909088</v>
      </c>
      <c r="V36" s="31">
        <f t="shared" si="29"/>
        <v>22450.909090909088</v>
      </c>
      <c r="W36" s="31">
        <f t="shared" si="29"/>
        <v>22450.909090909088</v>
      </c>
      <c r="X36" s="31">
        <f t="shared" si="29"/>
        <v>9621.8181818181838</v>
      </c>
      <c r="Y36" s="99">
        <f t="shared" si="29"/>
        <v>9621.8181818181838</v>
      </c>
      <c r="Z36" s="100">
        <f t="shared" si="29"/>
        <v>9621.8181818181838</v>
      </c>
    </row>
    <row r="37" spans="2:26" s="2" customFormat="1" ht="40.5" customHeight="1" thickBot="1" x14ac:dyDescent="0.35">
      <c r="B37" s="59" t="s">
        <v>52</v>
      </c>
      <c r="C37" s="109">
        <f>(+SUM(C25:C34)+SUM(C23+C12))*0.21</f>
        <v>5903.0039250000009</v>
      </c>
      <c r="D37" s="34">
        <f t="shared" ref="D37:N37" si="30">(+SUM(D25:D34)+SUM(D23+D12))*0.21</f>
        <v>5198.5939250000001</v>
      </c>
      <c r="E37" s="34">
        <f t="shared" si="30"/>
        <v>2048.5939250000001</v>
      </c>
      <c r="F37" s="34">
        <f t="shared" si="30"/>
        <v>2748.5939249999997</v>
      </c>
      <c r="G37" s="34">
        <f t="shared" si="30"/>
        <v>2048.5939250000001</v>
      </c>
      <c r="H37" s="34">
        <f t="shared" si="30"/>
        <v>2048.5939250000001</v>
      </c>
      <c r="I37" s="34">
        <f t="shared" si="30"/>
        <v>2732.9898749999998</v>
      </c>
      <c r="J37" s="34">
        <f t="shared" si="30"/>
        <v>2032.989875</v>
      </c>
      <c r="K37" s="34">
        <f t="shared" si="30"/>
        <v>2032.989875</v>
      </c>
      <c r="L37" s="34">
        <f t="shared" si="30"/>
        <v>2032.989875</v>
      </c>
      <c r="M37" s="34">
        <f t="shared" si="30"/>
        <v>2032.989875</v>
      </c>
      <c r="N37" s="34">
        <f t="shared" si="30"/>
        <v>2032.989875</v>
      </c>
      <c r="O37" s="34">
        <f t="shared" ref="O37:Z37" si="31">(+SUM(O25:O34)+SUM(O23+O12))*0.21</f>
        <v>8806.4859749999996</v>
      </c>
      <c r="P37" s="34">
        <f t="shared" si="31"/>
        <v>7406.4859749999996</v>
      </c>
      <c r="Q37" s="34">
        <f t="shared" si="31"/>
        <v>3206.4859749999996</v>
      </c>
      <c r="R37" s="34">
        <f t="shared" si="31"/>
        <v>4606.4859749999996</v>
      </c>
      <c r="S37" s="34">
        <f t="shared" si="31"/>
        <v>3206.4859749999996</v>
      </c>
      <c r="T37" s="34">
        <f t="shared" si="31"/>
        <v>3206.4859749999996</v>
      </c>
      <c r="U37" s="34">
        <f t="shared" si="31"/>
        <v>4606.4859749999996</v>
      </c>
      <c r="V37" s="34">
        <f t="shared" si="31"/>
        <v>3206.4859749999996</v>
      </c>
      <c r="W37" s="34">
        <f t="shared" si="31"/>
        <v>3206.4859749999996</v>
      </c>
      <c r="X37" s="34">
        <f t="shared" si="31"/>
        <v>3206.4859749999996</v>
      </c>
      <c r="Y37" s="101">
        <f t="shared" si="31"/>
        <v>3206.4859749999996</v>
      </c>
      <c r="Z37" s="102">
        <f t="shared" si="31"/>
        <v>3206.4859749999996</v>
      </c>
    </row>
    <row r="38" spans="2:26" s="2" customFormat="1" ht="40.5" customHeight="1" thickBot="1" x14ac:dyDescent="0.35">
      <c r="B38" s="56" t="s">
        <v>53</v>
      </c>
      <c r="C38" s="106">
        <f>+C36-C37</f>
        <v>-3247.6320241735557</v>
      </c>
      <c r="D38" s="30">
        <f t="shared" ref="D38:N38" si="32">+D36-D37</f>
        <v>-2543.2220241735549</v>
      </c>
      <c r="E38" s="30">
        <f t="shared" si="32"/>
        <v>606.77797582644507</v>
      </c>
      <c r="F38" s="30">
        <f t="shared" si="32"/>
        <v>3447.2738435950391</v>
      </c>
      <c r="G38" s="30">
        <f t="shared" si="32"/>
        <v>4147.2738435950387</v>
      </c>
      <c r="H38" s="30">
        <f t="shared" si="32"/>
        <v>4147.2738435950387</v>
      </c>
      <c r="I38" s="30">
        <f t="shared" si="32"/>
        <v>3462.877893595039</v>
      </c>
      <c r="J38" s="30">
        <f t="shared" si="32"/>
        <v>4162.8778935950386</v>
      </c>
      <c r="K38" s="30">
        <f t="shared" si="32"/>
        <v>4162.8778935950386</v>
      </c>
      <c r="L38" s="30">
        <f t="shared" si="32"/>
        <v>622.38202582644521</v>
      </c>
      <c r="M38" s="30">
        <f t="shared" si="32"/>
        <v>622.38202582644521</v>
      </c>
      <c r="N38" s="30">
        <f t="shared" si="32"/>
        <v>622.38202582644521</v>
      </c>
      <c r="O38" s="30">
        <f t="shared" ref="O38" si="33">+O36-O37</f>
        <v>815.3322068181842</v>
      </c>
      <c r="P38" s="30">
        <f t="shared" ref="P38" si="34">+P36-P37</f>
        <v>2215.3322068181842</v>
      </c>
      <c r="Q38" s="30">
        <f t="shared" ref="Q38" si="35">+Q36-Q37</f>
        <v>6415.3322068181842</v>
      </c>
      <c r="R38" s="30">
        <f t="shared" ref="R38" si="36">+R36-R37</f>
        <v>17844.423115909089</v>
      </c>
      <c r="S38" s="30">
        <f t="shared" ref="S38" si="37">+S36-S37</f>
        <v>19244.423115909089</v>
      </c>
      <c r="T38" s="30">
        <f t="shared" ref="T38" si="38">+T36-T37</f>
        <v>19244.423115909089</v>
      </c>
      <c r="U38" s="30">
        <f t="shared" ref="U38" si="39">+U36-U37</f>
        <v>17844.423115909089</v>
      </c>
      <c r="V38" s="30">
        <f t="shared" ref="V38" si="40">+V36-V37</f>
        <v>19244.423115909089</v>
      </c>
      <c r="W38" s="30">
        <f t="shared" ref="W38" si="41">+W36-W37</f>
        <v>19244.423115909089</v>
      </c>
      <c r="X38" s="30">
        <f t="shared" ref="X38" si="42">+X36-X37</f>
        <v>6415.3322068181842</v>
      </c>
      <c r="Y38" s="94">
        <f t="shared" ref="Y38" si="43">+Y36-Y37</f>
        <v>6415.3322068181842</v>
      </c>
      <c r="Z38" s="95">
        <f t="shared" ref="Z38" si="44">+Z36-Z37</f>
        <v>6415.3322068181842</v>
      </c>
    </row>
    <row r="39" spans="2:26" s="2" customFormat="1" ht="40.5" customHeight="1" thickBot="1" x14ac:dyDescent="0.35">
      <c r="B39" s="60" t="s">
        <v>54</v>
      </c>
      <c r="C39" s="110">
        <f>+C11-C35</f>
        <v>-21567.211666666662</v>
      </c>
      <c r="D39" s="35">
        <f t="shared" ref="D39:Z39" si="45">+D11-D35</f>
        <v>-17755.828333333331</v>
      </c>
      <c r="E39" s="35">
        <f t="shared" si="45"/>
        <v>-2755.8283333333347</v>
      </c>
      <c r="F39" s="35">
        <f t="shared" si="45"/>
        <v>14310.838333333333</v>
      </c>
      <c r="G39" s="35">
        <f t="shared" si="45"/>
        <v>17644.171666666665</v>
      </c>
      <c r="H39" s="35">
        <f t="shared" si="45"/>
        <v>17644.171666666665</v>
      </c>
      <c r="I39" s="35">
        <f t="shared" si="45"/>
        <v>14385.143333333333</v>
      </c>
      <c r="J39" s="35">
        <f t="shared" si="45"/>
        <v>17718.476666666666</v>
      </c>
      <c r="K39" s="35">
        <f t="shared" si="45"/>
        <v>17718.476666666666</v>
      </c>
      <c r="L39" s="35">
        <f t="shared" si="45"/>
        <v>-2681.5233333333344</v>
      </c>
      <c r="M39" s="35">
        <f t="shared" si="45"/>
        <v>-2681.5233333333344</v>
      </c>
      <c r="N39" s="35">
        <f t="shared" si="45"/>
        <v>-2681.5233333333344</v>
      </c>
      <c r="O39" s="35">
        <f t="shared" si="45"/>
        <v>404.43583333332936</v>
      </c>
      <c r="P39" s="35">
        <f t="shared" si="45"/>
        <v>7090.1024999999936</v>
      </c>
      <c r="Q39" s="35">
        <f t="shared" si="45"/>
        <v>27090.102500000001</v>
      </c>
      <c r="R39" s="35">
        <f t="shared" si="45"/>
        <v>94343.435833333322</v>
      </c>
      <c r="S39" s="35">
        <f t="shared" si="45"/>
        <v>101010.10250000001</v>
      </c>
      <c r="T39" s="35">
        <f t="shared" si="45"/>
        <v>101010.10250000001</v>
      </c>
      <c r="U39" s="35">
        <f t="shared" si="45"/>
        <v>94343.435833333322</v>
      </c>
      <c r="V39" s="35">
        <f t="shared" si="45"/>
        <v>101010.10250000001</v>
      </c>
      <c r="W39" s="35">
        <f t="shared" si="45"/>
        <v>101010.10250000001</v>
      </c>
      <c r="X39" s="35">
        <f t="shared" si="45"/>
        <v>27090.102500000001</v>
      </c>
      <c r="Y39" s="103">
        <f t="shared" si="45"/>
        <v>27090.102500000001</v>
      </c>
      <c r="Z39" s="104">
        <f t="shared" si="45"/>
        <v>27090.102500000001</v>
      </c>
    </row>
    <row r="40" spans="2:26" s="2" customFormat="1" ht="40.5" customHeight="1" x14ac:dyDescent="0.3">
      <c r="B40" s="28" t="s">
        <v>55</v>
      </c>
      <c r="C40" s="111">
        <f>+C39</f>
        <v>-21567.211666666662</v>
      </c>
      <c r="D40" s="36">
        <f>+C40</f>
        <v>-21567.211666666662</v>
      </c>
      <c r="E40" s="36">
        <f>+D41</f>
        <v>-39323.039999999994</v>
      </c>
      <c r="F40" s="36">
        <f t="shared" ref="F40:Z40" si="46">+E41</f>
        <v>-42078.868333333332</v>
      </c>
      <c r="G40" s="36">
        <f t="shared" si="46"/>
        <v>-27768.03</v>
      </c>
      <c r="H40" s="36">
        <f t="shared" si="46"/>
        <v>-10123.858333333334</v>
      </c>
      <c r="I40" s="36">
        <f t="shared" si="46"/>
        <v>7520.3133333333317</v>
      </c>
      <c r="J40" s="36">
        <f t="shared" si="46"/>
        <v>21905.456666666665</v>
      </c>
      <c r="K40" s="36">
        <f t="shared" si="46"/>
        <v>39623.933333333334</v>
      </c>
      <c r="L40" s="36">
        <f t="shared" si="46"/>
        <v>57342.41</v>
      </c>
      <c r="M40" s="36">
        <f t="shared" si="46"/>
        <v>54660.886666666673</v>
      </c>
      <c r="N40" s="36">
        <f t="shared" si="46"/>
        <v>51979.363333333342</v>
      </c>
      <c r="O40" s="36">
        <f t="shared" si="46"/>
        <v>49297.840000000011</v>
      </c>
      <c r="P40" s="36">
        <f t="shared" si="46"/>
        <v>49702.27583333334</v>
      </c>
      <c r="Q40" s="36">
        <f t="shared" si="46"/>
        <v>56792.378333333334</v>
      </c>
      <c r="R40" s="36">
        <f t="shared" si="46"/>
        <v>83882.480833333335</v>
      </c>
      <c r="S40" s="36">
        <f t="shared" si="46"/>
        <v>178225.91666666666</v>
      </c>
      <c r="T40" s="36">
        <f t="shared" si="46"/>
        <v>279236.01916666667</v>
      </c>
      <c r="U40" s="36">
        <f t="shared" si="46"/>
        <v>380246.1216666667</v>
      </c>
      <c r="V40" s="36">
        <f t="shared" si="46"/>
        <v>474589.5575</v>
      </c>
      <c r="W40" s="36">
        <f t="shared" si="46"/>
        <v>575599.66</v>
      </c>
      <c r="X40" s="36">
        <f t="shared" si="46"/>
        <v>676609.76250000007</v>
      </c>
      <c r="Y40" s="36">
        <f t="shared" si="46"/>
        <v>703699.86500000011</v>
      </c>
      <c r="Z40" s="37">
        <f t="shared" si="46"/>
        <v>730789.96750000014</v>
      </c>
    </row>
    <row r="41" spans="2:26" s="2" customFormat="1" ht="40.5" customHeight="1" thickBot="1" x14ac:dyDescent="0.35">
      <c r="B41" s="29" t="s">
        <v>56</v>
      </c>
      <c r="C41" s="112">
        <f>+C39</f>
        <v>-21567.211666666662</v>
      </c>
      <c r="D41" s="38">
        <f>+C41+D39</f>
        <v>-39323.039999999994</v>
      </c>
      <c r="E41" s="38">
        <f t="shared" ref="E41:N41" si="47">+D41+E39</f>
        <v>-42078.868333333332</v>
      </c>
      <c r="F41" s="38">
        <f t="shared" si="47"/>
        <v>-27768.03</v>
      </c>
      <c r="G41" s="38">
        <f t="shared" si="47"/>
        <v>-10123.858333333334</v>
      </c>
      <c r="H41" s="38">
        <f t="shared" si="47"/>
        <v>7520.3133333333317</v>
      </c>
      <c r="I41" s="38">
        <f t="shared" si="47"/>
        <v>21905.456666666665</v>
      </c>
      <c r="J41" s="38">
        <f t="shared" si="47"/>
        <v>39623.933333333334</v>
      </c>
      <c r="K41" s="38">
        <f t="shared" si="47"/>
        <v>57342.41</v>
      </c>
      <c r="L41" s="38">
        <f t="shared" si="47"/>
        <v>54660.886666666673</v>
      </c>
      <c r="M41" s="38">
        <f t="shared" si="47"/>
        <v>51979.363333333342</v>
      </c>
      <c r="N41" s="38">
        <f t="shared" si="47"/>
        <v>49297.840000000011</v>
      </c>
      <c r="O41" s="38">
        <f t="shared" ref="O41:Z41" si="48">+N41+O39</f>
        <v>49702.27583333334</v>
      </c>
      <c r="P41" s="38">
        <f t="shared" si="48"/>
        <v>56792.378333333334</v>
      </c>
      <c r="Q41" s="38">
        <f t="shared" si="48"/>
        <v>83882.480833333335</v>
      </c>
      <c r="R41" s="38">
        <f t="shared" si="48"/>
        <v>178225.91666666666</v>
      </c>
      <c r="S41" s="38">
        <f t="shared" si="48"/>
        <v>279236.01916666667</v>
      </c>
      <c r="T41" s="38">
        <f t="shared" si="48"/>
        <v>380246.1216666667</v>
      </c>
      <c r="U41" s="38">
        <f t="shared" si="48"/>
        <v>474589.5575</v>
      </c>
      <c r="V41" s="38">
        <f t="shared" si="48"/>
        <v>575599.66</v>
      </c>
      <c r="W41" s="38">
        <f t="shared" si="48"/>
        <v>676609.76250000007</v>
      </c>
      <c r="X41" s="38">
        <f t="shared" si="48"/>
        <v>703699.86500000011</v>
      </c>
      <c r="Y41" s="38">
        <f t="shared" si="48"/>
        <v>730789.96750000014</v>
      </c>
      <c r="Z41" s="39">
        <f t="shared" si="48"/>
        <v>757880.07000000018</v>
      </c>
    </row>
  </sheetData>
  <pageMargins left="0.7" right="0.7" top="0.75" bottom="0.75" header="0.3" footer="0.3"/>
  <pageSetup paperSize="9" orientation="portrait" r:id="rId1"/>
  <ignoredErrors>
    <ignoredError sqref="C1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17"/>
  <sheetViews>
    <sheetView showGridLines="0" topLeftCell="H1" zoomScale="80" zoomScaleNormal="80" workbookViewId="0">
      <selection activeCell="N20" sqref="N20"/>
    </sheetView>
  </sheetViews>
  <sheetFormatPr baseColWidth="10" defaultRowHeight="14.4" x14ac:dyDescent="0.3"/>
  <cols>
    <col min="1" max="1" width="2" customWidth="1"/>
    <col min="2" max="2" width="32.109375" bestFit="1" customWidth="1"/>
    <col min="3" max="4" width="12.44140625" bestFit="1" customWidth="1"/>
    <col min="5" max="5" width="12.44140625" customWidth="1"/>
    <col min="6" max="6" width="12.44140625" bestFit="1" customWidth="1"/>
    <col min="7" max="7" width="12.44140625" customWidth="1"/>
    <col min="8" max="8" width="12.44140625" bestFit="1" customWidth="1"/>
    <col min="9" max="9" width="12.44140625" customWidth="1"/>
    <col min="10" max="10" width="12.44140625" bestFit="1" customWidth="1"/>
    <col min="11" max="11" width="12.44140625" customWidth="1"/>
    <col min="12" max="12" width="12.44140625" bestFit="1" customWidth="1"/>
    <col min="13" max="13" width="12.44140625" customWidth="1"/>
    <col min="14" max="14" width="12.44140625" bestFit="1" customWidth="1"/>
    <col min="15" max="15" width="12.88671875" bestFit="1" customWidth="1"/>
    <col min="16" max="17" width="12.44140625" bestFit="1" customWidth="1"/>
    <col min="18" max="23" width="14.33203125" bestFit="1" customWidth="1"/>
    <col min="24" max="24" width="12.44140625" customWidth="1"/>
    <col min="25" max="25" width="12.44140625" bestFit="1" customWidth="1"/>
    <col min="26" max="26" width="12.44140625" customWidth="1"/>
  </cols>
  <sheetData>
    <row r="1" spans="2:26" ht="21" x14ac:dyDescent="0.25">
      <c r="B1" s="3"/>
    </row>
    <row r="2" spans="2:26" ht="9.75" customHeight="1" thickBot="1" x14ac:dyDescent="0.3"/>
    <row r="3" spans="2:26" s="2" customFormat="1" ht="24.75" customHeight="1" thickBot="1" x14ac:dyDescent="0.3">
      <c r="C3" s="124" t="s">
        <v>77</v>
      </c>
      <c r="D3" s="125" t="s">
        <v>78</v>
      </c>
      <c r="E3" s="125" t="s">
        <v>79</v>
      </c>
      <c r="F3" s="125" t="s">
        <v>80</v>
      </c>
      <c r="G3" s="125" t="s">
        <v>69</v>
      </c>
      <c r="H3" s="125" t="s">
        <v>70</v>
      </c>
      <c r="I3" s="125" t="s">
        <v>71</v>
      </c>
      <c r="J3" s="125" t="s">
        <v>72</v>
      </c>
      <c r="K3" s="125" t="s">
        <v>73</v>
      </c>
      <c r="L3" s="125" t="s">
        <v>74</v>
      </c>
      <c r="M3" s="125" t="s">
        <v>75</v>
      </c>
      <c r="N3" s="125" t="s">
        <v>76</v>
      </c>
      <c r="O3" s="125" t="s">
        <v>77</v>
      </c>
      <c r="P3" s="125" t="s">
        <v>78</v>
      </c>
      <c r="Q3" s="125" t="s">
        <v>79</v>
      </c>
      <c r="R3" s="125" t="s">
        <v>80</v>
      </c>
      <c r="S3" s="125" t="s">
        <v>69</v>
      </c>
      <c r="T3" s="125" t="s">
        <v>70</v>
      </c>
      <c r="U3" s="125" t="s">
        <v>71</v>
      </c>
      <c r="V3" s="125" t="s">
        <v>72</v>
      </c>
      <c r="W3" s="125" t="s">
        <v>73</v>
      </c>
      <c r="X3" s="125" t="s">
        <v>74</v>
      </c>
      <c r="Y3" s="125" t="s">
        <v>75</v>
      </c>
      <c r="Z3" s="129" t="s">
        <v>76</v>
      </c>
    </row>
    <row r="4" spans="2:26" s="2" customFormat="1" ht="24.75" customHeight="1" x14ac:dyDescent="0.25">
      <c r="B4" s="40" t="s">
        <v>57</v>
      </c>
      <c r="C4" s="68">
        <f>+'PREVISION DE TESORERIA Mensual '!C5</f>
        <v>15300</v>
      </c>
      <c r="D4" s="68">
        <f>+'PREVISION DE TESORERIA Mensual '!D5</f>
        <v>15300</v>
      </c>
      <c r="E4" s="68">
        <f>+'PREVISION DE TESORERIA Mensual '!E5</f>
        <v>15300</v>
      </c>
      <c r="F4" s="68">
        <f>+'PREVISION DE TESORERIA Mensual '!F5</f>
        <v>35700</v>
      </c>
      <c r="G4" s="68">
        <f>+'PREVISION DE TESORERIA Mensual '!G5</f>
        <v>35700</v>
      </c>
      <c r="H4" s="68">
        <f>+'PREVISION DE TESORERIA Mensual '!H5</f>
        <v>35700</v>
      </c>
      <c r="I4" s="68">
        <f>+'PREVISION DE TESORERIA Mensual '!I5</f>
        <v>35700</v>
      </c>
      <c r="J4" s="68">
        <f>+'PREVISION DE TESORERIA Mensual '!J5</f>
        <v>35700</v>
      </c>
      <c r="K4" s="68">
        <f>+'PREVISION DE TESORERIA Mensual '!K5</f>
        <v>35700</v>
      </c>
      <c r="L4" s="68">
        <f>+'PREVISION DE TESORERIA Mensual '!L5</f>
        <v>15300</v>
      </c>
      <c r="M4" s="68">
        <f>+'PREVISION DE TESORERIA Mensual '!M5</f>
        <v>15300</v>
      </c>
      <c r="N4" s="68">
        <f>+'PREVISION DE TESORERIA Mensual '!N5</f>
        <v>15300</v>
      </c>
      <c r="O4" s="68">
        <f>+'PREVISION DE TESORERIA Mensual '!O5</f>
        <v>55440</v>
      </c>
      <c r="P4" s="68">
        <f>+'PREVISION DE TESORERIA Mensual '!P5</f>
        <v>55440</v>
      </c>
      <c r="Q4" s="68">
        <f>+'PREVISION DE TESORERIA Mensual '!Q5</f>
        <v>55440</v>
      </c>
      <c r="R4" s="68">
        <f>+'PREVISION DE TESORERIA Mensual '!R5</f>
        <v>129360</v>
      </c>
      <c r="S4" s="68">
        <f>+'PREVISION DE TESORERIA Mensual '!S5</f>
        <v>129360</v>
      </c>
      <c r="T4" s="68">
        <f>+'PREVISION DE TESORERIA Mensual '!T5</f>
        <v>129360</v>
      </c>
      <c r="U4" s="68">
        <f>+'PREVISION DE TESORERIA Mensual '!U5</f>
        <v>129360</v>
      </c>
      <c r="V4" s="68">
        <f>+'PREVISION DE TESORERIA Mensual '!V5</f>
        <v>129360</v>
      </c>
      <c r="W4" s="68">
        <f>+'PREVISION DE TESORERIA Mensual '!W5</f>
        <v>129360</v>
      </c>
      <c r="X4" s="68">
        <f>+'PREVISION DE TESORERIA Mensual '!X5</f>
        <v>55440</v>
      </c>
      <c r="Y4" s="68">
        <f>+'PREVISION DE TESORERIA Mensual '!Y5</f>
        <v>55440</v>
      </c>
      <c r="Z4" s="128">
        <f>+'PREVISION DE TESORERIA Mensual '!Z5</f>
        <v>55440</v>
      </c>
    </row>
    <row r="5" spans="2:26" s="2" customFormat="1" ht="24.75" customHeight="1" x14ac:dyDescent="0.25">
      <c r="B5" s="41" t="s">
        <v>58</v>
      </c>
      <c r="C5" s="69">
        <f>+'PREVISION DE TESORERIA Mensual '!C12+'PREVISION DE TESORERIA Mensual '!C21+'PREVISION DE TESORERIA Mensual '!C23+'PREVISION DE TESORERIA Mensual '!C24+'PREVISION DE TESORERIA Mensual '!C25+'PREVISION DE TESORERIA Mensual '!C26+'PREVISION DE TESORERIA Mensual '!C27+'PREVISION DE TESORERIA Mensual '!C28+'PREVISION DE TESORERIA Mensual '!C29+'PREVISION DE TESORERIA Mensual '!C30+'PREVISION DE TESORERIA Mensual '!C31+'PREVISION DE TESORERIA Mensual '!C32</f>
        <v>28566.592499999999</v>
      </c>
      <c r="D5" s="69">
        <f>+'PREVISION DE TESORERIA Mensual '!D12+'PREVISION DE TESORERIA Mensual '!D21+'PREVISION DE TESORERIA Mensual '!D23+'PREVISION DE TESORERIA Mensual '!D24+'PREVISION DE TESORERIA Mensual '!D25+'PREVISION DE TESORERIA Mensual '!D26+'PREVISION DE TESORERIA Mensual '!D27+'PREVISION DE TESORERIA Mensual '!D28+'PREVISION DE TESORERIA Mensual '!D29+'PREVISION DE TESORERIA Mensual '!D30+'PREVISION DE TESORERIA Mensual '!D31+'PREVISION DE TESORERIA Mensual '!D32</f>
        <v>24755.209166666667</v>
      </c>
      <c r="E5" s="69">
        <f>+'PREVISION DE TESORERIA Mensual '!E12+'PREVISION DE TESORERIA Mensual '!E21+'PREVISION DE TESORERIA Mensual '!E23+'PREVISION DE TESORERIA Mensual '!E24+'PREVISION DE TESORERIA Mensual '!E25+'PREVISION DE TESORERIA Mensual '!E26+'PREVISION DE TESORERIA Mensual '!E27+'PREVISION DE TESORERIA Mensual '!E28+'PREVISION DE TESORERIA Mensual '!E29+'PREVISION DE TESORERIA Mensual '!E30+'PREVISION DE TESORERIA Mensual '!E31+'PREVISION DE TESORERIA Mensual '!E32</f>
        <v>9755.2091666666656</v>
      </c>
      <c r="F5" s="69">
        <f>+'PREVISION DE TESORERIA Mensual '!F12+'PREVISION DE TESORERIA Mensual '!F21+'PREVISION DE TESORERIA Mensual '!F23+'PREVISION DE TESORERIA Mensual '!F24+'PREVISION DE TESORERIA Mensual '!F25+'PREVISION DE TESORERIA Mensual '!F26+'PREVISION DE TESORERIA Mensual '!F27+'PREVISION DE TESORERIA Mensual '!F28+'PREVISION DE TESORERIA Mensual '!F29+'PREVISION DE TESORERIA Mensual '!F30+'PREVISION DE TESORERIA Mensual '!F31+'PREVISION DE TESORERIA Mensual '!F32</f>
        <v>13088.5425</v>
      </c>
      <c r="G5" s="69">
        <f>+'PREVISION DE TESORERIA Mensual '!G12+'PREVISION DE TESORERIA Mensual '!G21+'PREVISION DE TESORERIA Mensual '!G23+'PREVISION DE TESORERIA Mensual '!G24+'PREVISION DE TESORERIA Mensual '!G25+'PREVISION DE TESORERIA Mensual '!G26+'PREVISION DE TESORERIA Mensual '!G27+'PREVISION DE TESORERIA Mensual '!G28+'PREVISION DE TESORERIA Mensual '!G29+'PREVISION DE TESORERIA Mensual '!G30+'PREVISION DE TESORERIA Mensual '!G31+'PREVISION DE TESORERIA Mensual '!G32</f>
        <v>9755.2091666666656</v>
      </c>
      <c r="H5" s="69">
        <f>+'PREVISION DE TESORERIA Mensual '!H12+'PREVISION DE TESORERIA Mensual '!H21+'PREVISION DE TESORERIA Mensual '!H23+'PREVISION DE TESORERIA Mensual '!H24+'PREVISION DE TESORERIA Mensual '!H25+'PREVISION DE TESORERIA Mensual '!H26+'PREVISION DE TESORERIA Mensual '!H27+'PREVISION DE TESORERIA Mensual '!H28+'PREVISION DE TESORERIA Mensual '!H29+'PREVISION DE TESORERIA Mensual '!H30+'PREVISION DE TESORERIA Mensual '!H31+'PREVISION DE TESORERIA Mensual '!H32</f>
        <v>9755.2091666666656</v>
      </c>
      <c r="I5" s="69">
        <f>+'PREVISION DE TESORERIA Mensual '!I12+'PREVISION DE TESORERIA Mensual '!I21+'PREVISION DE TESORERIA Mensual '!I23+'PREVISION DE TESORERIA Mensual '!I24+'PREVISION DE TESORERIA Mensual '!I25+'PREVISION DE TESORERIA Mensual '!I26+'PREVISION DE TESORERIA Mensual '!I27+'PREVISION DE TESORERIA Mensual '!I28+'PREVISION DE TESORERIA Mensual '!I29+'PREVISION DE TESORERIA Mensual '!I30+'PREVISION DE TESORERIA Mensual '!I31+'PREVISION DE TESORERIA Mensual '!I32</f>
        <v>13014.237499999999</v>
      </c>
      <c r="J5" s="69">
        <f>+'PREVISION DE TESORERIA Mensual '!J12+'PREVISION DE TESORERIA Mensual '!J21+'PREVISION DE TESORERIA Mensual '!J23+'PREVISION DE TESORERIA Mensual '!J24+'PREVISION DE TESORERIA Mensual '!J25+'PREVISION DE TESORERIA Mensual '!J26+'PREVISION DE TESORERIA Mensual '!J27+'PREVISION DE TESORERIA Mensual '!J28+'PREVISION DE TESORERIA Mensual '!J29+'PREVISION DE TESORERIA Mensual '!J30+'PREVISION DE TESORERIA Mensual '!J31+'PREVISION DE TESORERIA Mensual '!J32</f>
        <v>9680.9041666666653</v>
      </c>
      <c r="K5" s="69">
        <f>+'PREVISION DE TESORERIA Mensual '!K12+'PREVISION DE TESORERIA Mensual '!K21+'PREVISION DE TESORERIA Mensual '!K23+'PREVISION DE TESORERIA Mensual '!K24+'PREVISION DE TESORERIA Mensual '!K25+'PREVISION DE TESORERIA Mensual '!K26+'PREVISION DE TESORERIA Mensual '!K27+'PREVISION DE TESORERIA Mensual '!K28+'PREVISION DE TESORERIA Mensual '!K29+'PREVISION DE TESORERIA Mensual '!K30+'PREVISION DE TESORERIA Mensual '!K31+'PREVISION DE TESORERIA Mensual '!K32</f>
        <v>9680.9041666666653</v>
      </c>
      <c r="L5" s="69">
        <f>+'PREVISION DE TESORERIA Mensual '!L12+'PREVISION DE TESORERIA Mensual '!L21+'PREVISION DE TESORERIA Mensual '!L23+'PREVISION DE TESORERIA Mensual '!L24+'PREVISION DE TESORERIA Mensual '!L25+'PREVISION DE TESORERIA Mensual '!L26+'PREVISION DE TESORERIA Mensual '!L27+'PREVISION DE TESORERIA Mensual '!L28+'PREVISION DE TESORERIA Mensual '!L29+'PREVISION DE TESORERIA Mensual '!L30+'PREVISION DE TESORERIA Mensual '!L31+'PREVISION DE TESORERIA Mensual '!L32</f>
        <v>9680.9041666666653</v>
      </c>
      <c r="M5" s="69">
        <f>+'PREVISION DE TESORERIA Mensual '!M12+'PREVISION DE TESORERIA Mensual '!M21+'PREVISION DE TESORERIA Mensual '!M23+'PREVISION DE TESORERIA Mensual '!M24+'PREVISION DE TESORERIA Mensual '!M25+'PREVISION DE TESORERIA Mensual '!M26+'PREVISION DE TESORERIA Mensual '!M27+'PREVISION DE TESORERIA Mensual '!M28+'PREVISION DE TESORERIA Mensual '!M29+'PREVISION DE TESORERIA Mensual '!M30+'PREVISION DE TESORERIA Mensual '!M31+'PREVISION DE TESORERIA Mensual '!M32</f>
        <v>9680.9041666666653</v>
      </c>
      <c r="N5" s="69">
        <f>+'PREVISION DE TESORERIA Mensual '!N12+'PREVISION DE TESORERIA Mensual '!N21+'PREVISION DE TESORERIA Mensual '!N23+'PREVISION DE TESORERIA Mensual '!N24+'PREVISION DE TESORERIA Mensual '!N25+'PREVISION DE TESORERIA Mensual '!N26+'PREVISION DE TESORERIA Mensual '!N27+'PREVISION DE TESORERIA Mensual '!N28+'PREVISION DE TESORERIA Mensual '!N29+'PREVISION DE TESORERIA Mensual '!N30+'PREVISION DE TESORERIA Mensual '!N31+'PREVISION DE TESORERIA Mensual '!N32</f>
        <v>9680.9041666666653</v>
      </c>
      <c r="O5" s="69">
        <f>+'PREVISION DE TESORERIA Mensual '!O12+'PREVISION DE TESORERIA Mensual '!O21+'PREVISION DE TESORERIA Mensual '!O23+'PREVISION DE TESORERIA Mensual '!O24+'PREVISION DE TESORERIA Mensual '!O25+'PREVISION DE TESORERIA Mensual '!O26+'PREVISION DE TESORERIA Mensual '!O27+'PREVISION DE TESORERIA Mensual '!O28+'PREVISION DE TESORERIA Mensual '!O29+'PREVISION DE TESORERIA Mensual '!O30+'PREVISION DE TESORERIA Mensual '!O31+'PREVISION DE TESORERIA Mensual '!O32</f>
        <v>41954.647499999999</v>
      </c>
      <c r="P5" s="69">
        <f>+'PREVISION DE TESORERIA Mensual '!P12+'PREVISION DE TESORERIA Mensual '!P21+'PREVISION DE TESORERIA Mensual '!P23+'PREVISION DE TESORERIA Mensual '!P24+'PREVISION DE TESORERIA Mensual '!P25+'PREVISION DE TESORERIA Mensual '!P26+'PREVISION DE TESORERIA Mensual '!P27+'PREVISION DE TESORERIA Mensual '!P28+'PREVISION DE TESORERIA Mensual '!P29+'PREVISION DE TESORERIA Mensual '!P30+'PREVISION DE TESORERIA Mensual '!P31+'PREVISION DE TESORERIA Mensual '!P32</f>
        <v>35268.980833333335</v>
      </c>
      <c r="Q5" s="69">
        <f>+'PREVISION DE TESORERIA Mensual '!Q12+'PREVISION DE TESORERIA Mensual '!Q21+'PREVISION DE TESORERIA Mensual '!Q23+'PREVISION DE TESORERIA Mensual '!Q24+'PREVISION DE TESORERIA Mensual '!Q25+'PREVISION DE TESORERIA Mensual '!Q26+'PREVISION DE TESORERIA Mensual '!Q27+'PREVISION DE TESORERIA Mensual '!Q28+'PREVISION DE TESORERIA Mensual '!Q29+'PREVISION DE TESORERIA Mensual '!Q30+'PREVISION DE TESORERIA Mensual '!Q31+'PREVISION DE TESORERIA Mensual '!Q32</f>
        <v>15268.980833333333</v>
      </c>
      <c r="R5" s="69">
        <f>+'PREVISION DE TESORERIA Mensual '!R12+'PREVISION DE TESORERIA Mensual '!R21+'PREVISION DE TESORERIA Mensual '!R23+'PREVISION DE TESORERIA Mensual '!R24+'PREVISION DE TESORERIA Mensual '!R25+'PREVISION DE TESORERIA Mensual '!R26+'PREVISION DE TESORERIA Mensual '!R27+'PREVISION DE TESORERIA Mensual '!R28+'PREVISION DE TESORERIA Mensual '!R29+'PREVISION DE TESORERIA Mensual '!R30+'PREVISION DE TESORERIA Mensual '!R31+'PREVISION DE TESORERIA Mensual '!R32</f>
        <v>21935.647499999999</v>
      </c>
      <c r="S5" s="69">
        <f>+'PREVISION DE TESORERIA Mensual '!S12+'PREVISION DE TESORERIA Mensual '!S21+'PREVISION DE TESORERIA Mensual '!S23+'PREVISION DE TESORERIA Mensual '!S24+'PREVISION DE TESORERIA Mensual '!S25+'PREVISION DE TESORERIA Mensual '!S26+'PREVISION DE TESORERIA Mensual '!S27+'PREVISION DE TESORERIA Mensual '!S28+'PREVISION DE TESORERIA Mensual '!S29+'PREVISION DE TESORERIA Mensual '!S30+'PREVISION DE TESORERIA Mensual '!S31+'PREVISION DE TESORERIA Mensual '!S32</f>
        <v>15268.980833333333</v>
      </c>
      <c r="T5" s="69">
        <f>+'PREVISION DE TESORERIA Mensual '!T12+'PREVISION DE TESORERIA Mensual '!T21+'PREVISION DE TESORERIA Mensual '!T23+'PREVISION DE TESORERIA Mensual '!T24+'PREVISION DE TESORERIA Mensual '!T25+'PREVISION DE TESORERIA Mensual '!T26+'PREVISION DE TESORERIA Mensual '!T27+'PREVISION DE TESORERIA Mensual '!T28+'PREVISION DE TESORERIA Mensual '!T29+'PREVISION DE TESORERIA Mensual '!T30+'PREVISION DE TESORERIA Mensual '!T31+'PREVISION DE TESORERIA Mensual '!T32</f>
        <v>15268.980833333333</v>
      </c>
      <c r="U5" s="69">
        <f>+'PREVISION DE TESORERIA Mensual '!U12+'PREVISION DE TESORERIA Mensual '!U21+'PREVISION DE TESORERIA Mensual '!U23+'PREVISION DE TESORERIA Mensual '!U24+'PREVISION DE TESORERIA Mensual '!U25+'PREVISION DE TESORERIA Mensual '!U26+'PREVISION DE TESORERIA Mensual '!U27+'PREVISION DE TESORERIA Mensual '!U28+'PREVISION DE TESORERIA Mensual '!U29+'PREVISION DE TESORERIA Mensual '!U30+'PREVISION DE TESORERIA Mensual '!U31+'PREVISION DE TESORERIA Mensual '!U32</f>
        <v>21935.647499999999</v>
      </c>
      <c r="V5" s="69">
        <f>+'PREVISION DE TESORERIA Mensual '!V12+'PREVISION DE TESORERIA Mensual '!V21+'PREVISION DE TESORERIA Mensual '!V23+'PREVISION DE TESORERIA Mensual '!V24+'PREVISION DE TESORERIA Mensual '!V25+'PREVISION DE TESORERIA Mensual '!V26+'PREVISION DE TESORERIA Mensual '!V27+'PREVISION DE TESORERIA Mensual '!V28+'PREVISION DE TESORERIA Mensual '!V29+'PREVISION DE TESORERIA Mensual '!V30+'PREVISION DE TESORERIA Mensual '!V31+'PREVISION DE TESORERIA Mensual '!V32</f>
        <v>15268.980833333333</v>
      </c>
      <c r="W5" s="69">
        <f>+'PREVISION DE TESORERIA Mensual '!W12+'PREVISION DE TESORERIA Mensual '!W21+'PREVISION DE TESORERIA Mensual '!W23+'PREVISION DE TESORERIA Mensual '!W24+'PREVISION DE TESORERIA Mensual '!W25+'PREVISION DE TESORERIA Mensual '!W26+'PREVISION DE TESORERIA Mensual '!W27+'PREVISION DE TESORERIA Mensual '!W28+'PREVISION DE TESORERIA Mensual '!W29+'PREVISION DE TESORERIA Mensual '!W30+'PREVISION DE TESORERIA Mensual '!W31+'PREVISION DE TESORERIA Mensual '!W32</f>
        <v>15268.980833333333</v>
      </c>
      <c r="X5" s="69">
        <f>+'PREVISION DE TESORERIA Mensual '!X12+'PREVISION DE TESORERIA Mensual '!X21+'PREVISION DE TESORERIA Mensual '!X23+'PREVISION DE TESORERIA Mensual '!X24+'PREVISION DE TESORERIA Mensual '!X25+'PREVISION DE TESORERIA Mensual '!X26+'PREVISION DE TESORERIA Mensual '!X27+'PREVISION DE TESORERIA Mensual '!X28+'PREVISION DE TESORERIA Mensual '!X29+'PREVISION DE TESORERIA Mensual '!X30+'PREVISION DE TESORERIA Mensual '!X31+'PREVISION DE TESORERIA Mensual '!X32</f>
        <v>15268.980833333333</v>
      </c>
      <c r="Y5" s="69">
        <f>+'PREVISION DE TESORERIA Mensual '!Y12+'PREVISION DE TESORERIA Mensual '!Y21+'PREVISION DE TESORERIA Mensual '!Y23+'PREVISION DE TESORERIA Mensual '!Y24+'PREVISION DE TESORERIA Mensual '!Y25+'PREVISION DE TESORERIA Mensual '!Y26+'PREVISION DE TESORERIA Mensual '!Y27+'PREVISION DE TESORERIA Mensual '!Y28+'PREVISION DE TESORERIA Mensual '!Y29+'PREVISION DE TESORERIA Mensual '!Y30+'PREVISION DE TESORERIA Mensual '!Y31+'PREVISION DE TESORERIA Mensual '!Y32</f>
        <v>15268.980833333333</v>
      </c>
      <c r="Z5" s="48">
        <f>+'PREVISION DE TESORERIA Mensual '!Z12+'PREVISION DE TESORERIA Mensual '!Z21+'PREVISION DE TESORERIA Mensual '!Z23+'PREVISION DE TESORERIA Mensual '!Z24+'PREVISION DE TESORERIA Mensual '!Z25+'PREVISION DE TESORERIA Mensual '!Z26+'PREVISION DE TESORERIA Mensual '!Z27+'PREVISION DE TESORERIA Mensual '!Z28+'PREVISION DE TESORERIA Mensual '!Z29+'PREVISION DE TESORERIA Mensual '!Z30+'PREVISION DE TESORERIA Mensual '!Z31+'PREVISION DE TESORERIA Mensual '!Z32</f>
        <v>15268.980833333333</v>
      </c>
    </row>
    <row r="6" spans="2:26" s="2" customFormat="1" ht="24.75" customHeight="1" x14ac:dyDescent="0.25">
      <c r="B6" s="41" t="s">
        <v>22</v>
      </c>
      <c r="C6" s="69">
        <f>+'PREVISION DE TESORERIA Mensual '!C16+'PREVISION DE TESORERIA Mensual '!C17</f>
        <v>4166.666666666667</v>
      </c>
      <c r="D6" s="69">
        <f>+'PREVISION DE TESORERIA Mensual '!D16+'PREVISION DE TESORERIA Mensual '!D17</f>
        <v>4166.666666666667</v>
      </c>
      <c r="E6" s="69">
        <f>+'PREVISION DE TESORERIA Mensual '!E16+'PREVISION DE TESORERIA Mensual '!E17</f>
        <v>4166.666666666667</v>
      </c>
      <c r="F6" s="69">
        <f>+'PREVISION DE TESORERIA Mensual '!F16+'PREVISION DE TESORERIA Mensual '!F17</f>
        <v>4166.666666666667</v>
      </c>
      <c r="G6" s="69">
        <f>+'PREVISION DE TESORERIA Mensual '!G16+'PREVISION DE TESORERIA Mensual '!G17</f>
        <v>4166.666666666667</v>
      </c>
      <c r="H6" s="69">
        <f>+'PREVISION DE TESORERIA Mensual '!H16+'PREVISION DE TESORERIA Mensual '!H17</f>
        <v>4166.666666666667</v>
      </c>
      <c r="I6" s="69">
        <f>+'PREVISION DE TESORERIA Mensual '!I16+'PREVISION DE TESORERIA Mensual '!I17</f>
        <v>4166.666666666667</v>
      </c>
      <c r="J6" s="69">
        <f>+'PREVISION DE TESORERIA Mensual '!J16+'PREVISION DE TESORERIA Mensual '!J17</f>
        <v>4166.666666666667</v>
      </c>
      <c r="K6" s="69">
        <f>+'PREVISION DE TESORERIA Mensual '!K16+'PREVISION DE TESORERIA Mensual '!K17</f>
        <v>4166.666666666667</v>
      </c>
      <c r="L6" s="69">
        <f>+'PREVISION DE TESORERIA Mensual '!L16+'PREVISION DE TESORERIA Mensual '!L17</f>
        <v>4166.666666666667</v>
      </c>
      <c r="M6" s="69">
        <f>+'PREVISION DE TESORERIA Mensual '!M16+'PREVISION DE TESORERIA Mensual '!M17</f>
        <v>4166.666666666667</v>
      </c>
      <c r="N6" s="69">
        <f>+'PREVISION DE TESORERIA Mensual '!N16+'PREVISION DE TESORERIA Mensual '!N17</f>
        <v>4166.666666666667</v>
      </c>
      <c r="O6" s="69">
        <f>+'PREVISION DE TESORERIA Mensual '!O16+'PREVISION DE TESORERIA Mensual '!O17</f>
        <v>7500</v>
      </c>
      <c r="P6" s="69">
        <f>+'PREVISION DE TESORERIA Mensual '!P16+'PREVISION DE TESORERIA Mensual '!P17</f>
        <v>7500</v>
      </c>
      <c r="Q6" s="69">
        <f>+'PREVISION DE TESORERIA Mensual '!Q16+'PREVISION DE TESORERIA Mensual '!Q17</f>
        <v>7500</v>
      </c>
      <c r="R6" s="69">
        <f>+'PREVISION DE TESORERIA Mensual '!R16+'PREVISION DE TESORERIA Mensual '!R17</f>
        <v>7500</v>
      </c>
      <c r="S6" s="69">
        <f>+'PREVISION DE TESORERIA Mensual '!S16+'PREVISION DE TESORERIA Mensual '!S17</f>
        <v>7500</v>
      </c>
      <c r="T6" s="69">
        <f>+'PREVISION DE TESORERIA Mensual '!T16+'PREVISION DE TESORERIA Mensual '!T17</f>
        <v>7500</v>
      </c>
      <c r="U6" s="69">
        <f>+'PREVISION DE TESORERIA Mensual '!U16+'PREVISION DE TESORERIA Mensual '!U17</f>
        <v>7500</v>
      </c>
      <c r="V6" s="69">
        <f>+'PREVISION DE TESORERIA Mensual '!V16+'PREVISION DE TESORERIA Mensual '!V17</f>
        <v>7500</v>
      </c>
      <c r="W6" s="69">
        <f>+'PREVISION DE TESORERIA Mensual '!W16+'PREVISION DE TESORERIA Mensual '!W17</f>
        <v>7500</v>
      </c>
      <c r="X6" s="69">
        <f>+'PREVISION DE TESORERIA Mensual '!X16+'PREVISION DE TESORERIA Mensual '!X17</f>
        <v>7500</v>
      </c>
      <c r="Y6" s="69">
        <f>+'PREVISION DE TESORERIA Mensual '!Y16+'PREVISION DE TESORERIA Mensual '!Y17</f>
        <v>7500</v>
      </c>
      <c r="Z6" s="48">
        <f>+'PREVISION DE TESORERIA Mensual '!Z16+'PREVISION DE TESORERIA Mensual '!Z17</f>
        <v>7500</v>
      </c>
    </row>
    <row r="7" spans="2:26" s="2" customFormat="1" ht="24.75" customHeight="1" x14ac:dyDescent="0.3">
      <c r="B7" s="41" t="s">
        <v>59</v>
      </c>
      <c r="C7" s="69">
        <f>+'PREVISION DE TESORERIA Mensual '!C12+'PREVISION DE TESORERIA Mensual '!C21+'PREVISION DE TESORERIA Mensual '!C23+'PREVISION DE TESORERIA Mensual '!C24+'PREVISION DE TESORERIA Mensual '!C25+'PREVISION DE TESORERIA Mensual '!C26+'PREVISION DE TESORERIA Mensual '!C27+'PREVISION DE TESORERIA Mensual '!C28+'PREVISION DE TESORERIA Mensual '!C29+'PREVISION DE TESORERIA Mensual '!C30+'PREVISION DE TESORERIA Mensual '!C31+'PREVISION DE TESORERIA Mensual '!C32</f>
        <v>28566.592499999999</v>
      </c>
      <c r="D7" s="69">
        <f>+'PREVISION DE TESORERIA Mensual '!D12+'PREVISION DE TESORERIA Mensual '!D21+'PREVISION DE TESORERIA Mensual '!D23+'PREVISION DE TESORERIA Mensual '!D24+'PREVISION DE TESORERIA Mensual '!D25+'PREVISION DE TESORERIA Mensual '!D26+'PREVISION DE TESORERIA Mensual '!D27+'PREVISION DE TESORERIA Mensual '!D28+'PREVISION DE TESORERIA Mensual '!D29+'PREVISION DE TESORERIA Mensual '!D30+'PREVISION DE TESORERIA Mensual '!D31+'PREVISION DE TESORERIA Mensual '!D32</f>
        <v>24755.209166666667</v>
      </c>
      <c r="E7" s="69">
        <f>+'PREVISION DE TESORERIA Mensual '!E12+'PREVISION DE TESORERIA Mensual '!E21+'PREVISION DE TESORERIA Mensual '!E23+'PREVISION DE TESORERIA Mensual '!E24+'PREVISION DE TESORERIA Mensual '!E25+'PREVISION DE TESORERIA Mensual '!E26+'PREVISION DE TESORERIA Mensual '!E27+'PREVISION DE TESORERIA Mensual '!E28+'PREVISION DE TESORERIA Mensual '!E29+'PREVISION DE TESORERIA Mensual '!E30+'PREVISION DE TESORERIA Mensual '!E31+'PREVISION DE TESORERIA Mensual '!E32</f>
        <v>9755.2091666666656</v>
      </c>
      <c r="F7" s="69">
        <f>+'PREVISION DE TESORERIA Mensual '!F12+'PREVISION DE TESORERIA Mensual '!F21+'PREVISION DE TESORERIA Mensual '!F23+'PREVISION DE TESORERIA Mensual '!F24+'PREVISION DE TESORERIA Mensual '!F25+'PREVISION DE TESORERIA Mensual '!F26+'PREVISION DE TESORERIA Mensual '!F27+'PREVISION DE TESORERIA Mensual '!F28+'PREVISION DE TESORERIA Mensual '!F29+'PREVISION DE TESORERIA Mensual '!F30+'PREVISION DE TESORERIA Mensual '!F31+'PREVISION DE TESORERIA Mensual '!F32</f>
        <v>13088.5425</v>
      </c>
      <c r="G7" s="69">
        <f>+'PREVISION DE TESORERIA Mensual '!G12+'PREVISION DE TESORERIA Mensual '!G21+'PREVISION DE TESORERIA Mensual '!G23+'PREVISION DE TESORERIA Mensual '!G24+'PREVISION DE TESORERIA Mensual '!G25+'PREVISION DE TESORERIA Mensual '!G26+'PREVISION DE TESORERIA Mensual '!G27+'PREVISION DE TESORERIA Mensual '!G28+'PREVISION DE TESORERIA Mensual '!G29+'PREVISION DE TESORERIA Mensual '!G30+'PREVISION DE TESORERIA Mensual '!G31+'PREVISION DE TESORERIA Mensual '!G32</f>
        <v>9755.2091666666656</v>
      </c>
      <c r="H7" s="69">
        <f>+'PREVISION DE TESORERIA Mensual '!H12+'PREVISION DE TESORERIA Mensual '!H21+'PREVISION DE TESORERIA Mensual '!H23+'PREVISION DE TESORERIA Mensual '!H24+'PREVISION DE TESORERIA Mensual '!H25+'PREVISION DE TESORERIA Mensual '!H26+'PREVISION DE TESORERIA Mensual '!H27+'PREVISION DE TESORERIA Mensual '!H28+'PREVISION DE TESORERIA Mensual '!H29+'PREVISION DE TESORERIA Mensual '!H30+'PREVISION DE TESORERIA Mensual '!H31+'PREVISION DE TESORERIA Mensual '!H32</f>
        <v>9755.2091666666656</v>
      </c>
      <c r="I7" s="69">
        <f>+'PREVISION DE TESORERIA Mensual '!I12+'PREVISION DE TESORERIA Mensual '!I21+'PREVISION DE TESORERIA Mensual '!I23+'PREVISION DE TESORERIA Mensual '!I24+'PREVISION DE TESORERIA Mensual '!I25+'PREVISION DE TESORERIA Mensual '!I26+'PREVISION DE TESORERIA Mensual '!I27+'PREVISION DE TESORERIA Mensual '!I28+'PREVISION DE TESORERIA Mensual '!I29+'PREVISION DE TESORERIA Mensual '!I30+'PREVISION DE TESORERIA Mensual '!I31+'PREVISION DE TESORERIA Mensual '!I32</f>
        <v>13014.237499999999</v>
      </c>
      <c r="J7" s="69">
        <f>+'PREVISION DE TESORERIA Mensual '!J12+'PREVISION DE TESORERIA Mensual '!J21+'PREVISION DE TESORERIA Mensual '!J23+'PREVISION DE TESORERIA Mensual '!J24+'PREVISION DE TESORERIA Mensual '!J25+'PREVISION DE TESORERIA Mensual '!J26+'PREVISION DE TESORERIA Mensual '!J27+'PREVISION DE TESORERIA Mensual '!J28+'PREVISION DE TESORERIA Mensual '!J29+'PREVISION DE TESORERIA Mensual '!J30+'PREVISION DE TESORERIA Mensual '!J31+'PREVISION DE TESORERIA Mensual '!J32</f>
        <v>9680.9041666666653</v>
      </c>
      <c r="K7" s="69">
        <f>+'PREVISION DE TESORERIA Mensual '!K12+'PREVISION DE TESORERIA Mensual '!K21+'PREVISION DE TESORERIA Mensual '!K23+'PREVISION DE TESORERIA Mensual '!K24+'PREVISION DE TESORERIA Mensual '!K25+'PREVISION DE TESORERIA Mensual '!K26+'PREVISION DE TESORERIA Mensual '!K27+'PREVISION DE TESORERIA Mensual '!K28+'PREVISION DE TESORERIA Mensual '!K29+'PREVISION DE TESORERIA Mensual '!K30+'PREVISION DE TESORERIA Mensual '!K31+'PREVISION DE TESORERIA Mensual '!K32</f>
        <v>9680.9041666666653</v>
      </c>
      <c r="L7" s="69">
        <f>+'PREVISION DE TESORERIA Mensual '!L12+'PREVISION DE TESORERIA Mensual '!L21+'PREVISION DE TESORERIA Mensual '!L23+'PREVISION DE TESORERIA Mensual '!L24+'PREVISION DE TESORERIA Mensual '!L25+'PREVISION DE TESORERIA Mensual '!L26+'PREVISION DE TESORERIA Mensual '!L27+'PREVISION DE TESORERIA Mensual '!L28+'PREVISION DE TESORERIA Mensual '!L29+'PREVISION DE TESORERIA Mensual '!L30+'PREVISION DE TESORERIA Mensual '!L31+'PREVISION DE TESORERIA Mensual '!L32</f>
        <v>9680.9041666666653</v>
      </c>
      <c r="M7" s="69">
        <f>+'PREVISION DE TESORERIA Mensual '!M12+'PREVISION DE TESORERIA Mensual '!M21+'PREVISION DE TESORERIA Mensual '!M23+'PREVISION DE TESORERIA Mensual '!M24+'PREVISION DE TESORERIA Mensual '!M25+'PREVISION DE TESORERIA Mensual '!M26+'PREVISION DE TESORERIA Mensual '!M27+'PREVISION DE TESORERIA Mensual '!M28+'PREVISION DE TESORERIA Mensual '!M29+'PREVISION DE TESORERIA Mensual '!M30+'PREVISION DE TESORERIA Mensual '!M31+'PREVISION DE TESORERIA Mensual '!M32</f>
        <v>9680.9041666666653</v>
      </c>
      <c r="N7" s="69">
        <f>+'PREVISION DE TESORERIA Mensual '!N12+'PREVISION DE TESORERIA Mensual '!N21+'PREVISION DE TESORERIA Mensual '!N23+'PREVISION DE TESORERIA Mensual '!N24+'PREVISION DE TESORERIA Mensual '!N25+'PREVISION DE TESORERIA Mensual '!N26+'PREVISION DE TESORERIA Mensual '!N27+'PREVISION DE TESORERIA Mensual '!N28+'PREVISION DE TESORERIA Mensual '!N29+'PREVISION DE TESORERIA Mensual '!N30+'PREVISION DE TESORERIA Mensual '!N31+'PREVISION DE TESORERIA Mensual '!N32</f>
        <v>9680.9041666666653</v>
      </c>
      <c r="O7" s="69">
        <f>+'PREVISION DE TESORERIA Mensual '!O12+'PREVISION DE TESORERIA Mensual '!O21+'PREVISION DE TESORERIA Mensual '!O23+'PREVISION DE TESORERIA Mensual '!O24+'PREVISION DE TESORERIA Mensual '!O25+'PREVISION DE TESORERIA Mensual '!O26+'PREVISION DE TESORERIA Mensual '!O27+'PREVISION DE TESORERIA Mensual '!O28+'PREVISION DE TESORERIA Mensual '!O29+'PREVISION DE TESORERIA Mensual '!O30+'PREVISION DE TESORERIA Mensual '!O31+'PREVISION DE TESORERIA Mensual '!O32</f>
        <v>41954.647499999999</v>
      </c>
      <c r="P7" s="69">
        <f>+'PREVISION DE TESORERIA Mensual '!P12+'PREVISION DE TESORERIA Mensual '!P21+'PREVISION DE TESORERIA Mensual '!P23+'PREVISION DE TESORERIA Mensual '!P24+'PREVISION DE TESORERIA Mensual '!P25+'PREVISION DE TESORERIA Mensual '!P26+'PREVISION DE TESORERIA Mensual '!P27+'PREVISION DE TESORERIA Mensual '!P28+'PREVISION DE TESORERIA Mensual '!P29+'PREVISION DE TESORERIA Mensual '!P30+'PREVISION DE TESORERIA Mensual '!P31+'PREVISION DE TESORERIA Mensual '!P32</f>
        <v>35268.980833333335</v>
      </c>
      <c r="Q7" s="69">
        <f>+'PREVISION DE TESORERIA Mensual '!Q12+'PREVISION DE TESORERIA Mensual '!Q21+'PREVISION DE TESORERIA Mensual '!Q23+'PREVISION DE TESORERIA Mensual '!Q24+'PREVISION DE TESORERIA Mensual '!Q25+'PREVISION DE TESORERIA Mensual '!Q26+'PREVISION DE TESORERIA Mensual '!Q27+'PREVISION DE TESORERIA Mensual '!Q28+'PREVISION DE TESORERIA Mensual '!Q29+'PREVISION DE TESORERIA Mensual '!Q30+'PREVISION DE TESORERIA Mensual '!Q31+'PREVISION DE TESORERIA Mensual '!Q32</f>
        <v>15268.980833333333</v>
      </c>
      <c r="R7" s="69">
        <f>+'PREVISION DE TESORERIA Mensual '!R12+'PREVISION DE TESORERIA Mensual '!R21+'PREVISION DE TESORERIA Mensual '!R23+'PREVISION DE TESORERIA Mensual '!R24+'PREVISION DE TESORERIA Mensual '!R25+'PREVISION DE TESORERIA Mensual '!R26+'PREVISION DE TESORERIA Mensual '!R27+'PREVISION DE TESORERIA Mensual '!R28+'PREVISION DE TESORERIA Mensual '!R29+'PREVISION DE TESORERIA Mensual '!R30+'PREVISION DE TESORERIA Mensual '!R31+'PREVISION DE TESORERIA Mensual '!R32</f>
        <v>21935.647499999999</v>
      </c>
      <c r="S7" s="69">
        <f>+'PREVISION DE TESORERIA Mensual '!S12+'PREVISION DE TESORERIA Mensual '!S21+'PREVISION DE TESORERIA Mensual '!S23+'PREVISION DE TESORERIA Mensual '!S24+'PREVISION DE TESORERIA Mensual '!S25+'PREVISION DE TESORERIA Mensual '!S26+'PREVISION DE TESORERIA Mensual '!S27+'PREVISION DE TESORERIA Mensual '!S28+'PREVISION DE TESORERIA Mensual '!S29+'PREVISION DE TESORERIA Mensual '!S30+'PREVISION DE TESORERIA Mensual '!S31+'PREVISION DE TESORERIA Mensual '!S32</f>
        <v>15268.980833333333</v>
      </c>
      <c r="T7" s="69">
        <f>+'PREVISION DE TESORERIA Mensual '!T12+'PREVISION DE TESORERIA Mensual '!T21+'PREVISION DE TESORERIA Mensual '!T23+'PREVISION DE TESORERIA Mensual '!T24+'PREVISION DE TESORERIA Mensual '!T25+'PREVISION DE TESORERIA Mensual '!T26+'PREVISION DE TESORERIA Mensual '!T27+'PREVISION DE TESORERIA Mensual '!T28+'PREVISION DE TESORERIA Mensual '!T29+'PREVISION DE TESORERIA Mensual '!T30+'PREVISION DE TESORERIA Mensual '!T31+'PREVISION DE TESORERIA Mensual '!T32</f>
        <v>15268.980833333333</v>
      </c>
      <c r="U7" s="69">
        <f>+'PREVISION DE TESORERIA Mensual '!U12+'PREVISION DE TESORERIA Mensual '!U21+'PREVISION DE TESORERIA Mensual '!U23+'PREVISION DE TESORERIA Mensual '!U24+'PREVISION DE TESORERIA Mensual '!U25+'PREVISION DE TESORERIA Mensual '!U26+'PREVISION DE TESORERIA Mensual '!U27+'PREVISION DE TESORERIA Mensual '!U28+'PREVISION DE TESORERIA Mensual '!U29+'PREVISION DE TESORERIA Mensual '!U30+'PREVISION DE TESORERIA Mensual '!U31+'PREVISION DE TESORERIA Mensual '!U32</f>
        <v>21935.647499999999</v>
      </c>
      <c r="V7" s="69">
        <f>+'PREVISION DE TESORERIA Mensual '!V12+'PREVISION DE TESORERIA Mensual '!V21+'PREVISION DE TESORERIA Mensual '!V23+'PREVISION DE TESORERIA Mensual '!V24+'PREVISION DE TESORERIA Mensual '!V25+'PREVISION DE TESORERIA Mensual '!V26+'PREVISION DE TESORERIA Mensual '!V27+'PREVISION DE TESORERIA Mensual '!V28+'PREVISION DE TESORERIA Mensual '!V29+'PREVISION DE TESORERIA Mensual '!V30+'PREVISION DE TESORERIA Mensual '!V31+'PREVISION DE TESORERIA Mensual '!V32</f>
        <v>15268.980833333333</v>
      </c>
      <c r="W7" s="69">
        <f>+'PREVISION DE TESORERIA Mensual '!W12+'PREVISION DE TESORERIA Mensual '!W21+'PREVISION DE TESORERIA Mensual '!W23+'PREVISION DE TESORERIA Mensual '!W24+'PREVISION DE TESORERIA Mensual '!W25+'PREVISION DE TESORERIA Mensual '!W26+'PREVISION DE TESORERIA Mensual '!W27+'PREVISION DE TESORERIA Mensual '!W28+'PREVISION DE TESORERIA Mensual '!W29+'PREVISION DE TESORERIA Mensual '!W30+'PREVISION DE TESORERIA Mensual '!W31+'PREVISION DE TESORERIA Mensual '!W32</f>
        <v>15268.980833333333</v>
      </c>
      <c r="X7" s="69">
        <f>+'PREVISION DE TESORERIA Mensual '!X12+'PREVISION DE TESORERIA Mensual '!X21+'PREVISION DE TESORERIA Mensual '!X23+'PREVISION DE TESORERIA Mensual '!X24+'PREVISION DE TESORERIA Mensual '!X25+'PREVISION DE TESORERIA Mensual '!X26+'PREVISION DE TESORERIA Mensual '!X27+'PREVISION DE TESORERIA Mensual '!X28+'PREVISION DE TESORERIA Mensual '!X29+'PREVISION DE TESORERIA Mensual '!X30+'PREVISION DE TESORERIA Mensual '!X31+'PREVISION DE TESORERIA Mensual '!X32</f>
        <v>15268.980833333333</v>
      </c>
      <c r="Y7" s="69">
        <f>+'PREVISION DE TESORERIA Mensual '!Y12+'PREVISION DE TESORERIA Mensual '!Y21+'PREVISION DE TESORERIA Mensual '!Y23+'PREVISION DE TESORERIA Mensual '!Y24+'PREVISION DE TESORERIA Mensual '!Y25+'PREVISION DE TESORERIA Mensual '!Y26+'PREVISION DE TESORERIA Mensual '!Y27+'PREVISION DE TESORERIA Mensual '!Y28+'PREVISION DE TESORERIA Mensual '!Y29+'PREVISION DE TESORERIA Mensual '!Y30+'PREVISION DE TESORERIA Mensual '!Y31+'PREVISION DE TESORERIA Mensual '!Y32</f>
        <v>15268.980833333333</v>
      </c>
      <c r="Z7" s="48">
        <f>+'PREVISION DE TESORERIA Mensual '!Z12+'PREVISION DE TESORERIA Mensual '!Z21+'PREVISION DE TESORERIA Mensual '!Z23+'PREVISION DE TESORERIA Mensual '!Z24+'PREVISION DE TESORERIA Mensual '!Z25+'PREVISION DE TESORERIA Mensual '!Z26+'PREVISION DE TESORERIA Mensual '!Z27+'PREVISION DE TESORERIA Mensual '!Z28+'PREVISION DE TESORERIA Mensual '!Z29+'PREVISION DE TESORERIA Mensual '!Z30+'PREVISION DE TESORERIA Mensual '!Z31+'PREVISION DE TESORERIA Mensual '!Z32</f>
        <v>15268.980833333333</v>
      </c>
    </row>
    <row r="8" spans="2:26" s="2" customFormat="1" ht="24.75" customHeight="1" thickBot="1" x14ac:dyDescent="0.3">
      <c r="B8" s="42" t="s">
        <v>60</v>
      </c>
      <c r="C8" s="74">
        <f>+Amortizaciones!B3</f>
        <v>9900</v>
      </c>
      <c r="D8" s="74">
        <f>+Amortizaciones!C3</f>
        <v>9900</v>
      </c>
      <c r="E8" s="74">
        <f>+Amortizaciones!D3</f>
        <v>9900</v>
      </c>
      <c r="F8" s="74">
        <f>+Amortizaciones!E3</f>
        <v>300</v>
      </c>
      <c r="G8" s="74"/>
      <c r="H8" s="74"/>
      <c r="I8" s="74"/>
      <c r="J8" s="74"/>
      <c r="K8" s="74"/>
      <c r="L8" s="74"/>
      <c r="M8" s="74"/>
      <c r="N8" s="74"/>
      <c r="O8" s="74">
        <f>+Amortizaciones!N3</f>
        <v>13200</v>
      </c>
      <c r="P8" s="74">
        <f>+Amortizaciones!O3</f>
        <v>13200</v>
      </c>
      <c r="Q8" s="74">
        <f>+Amortizaciones!P3</f>
        <v>13200</v>
      </c>
      <c r="R8" s="74">
        <f>+Amortizaciones!Q3</f>
        <v>400</v>
      </c>
      <c r="S8" s="74"/>
      <c r="T8" s="74"/>
      <c r="U8" s="74"/>
      <c r="V8" s="74"/>
      <c r="W8" s="74"/>
      <c r="X8" s="74"/>
      <c r="Y8" s="74"/>
      <c r="Z8" s="75"/>
    </row>
    <row r="9" spans="2:26" s="2" customFormat="1" ht="24.75" customHeight="1" thickBot="1" x14ac:dyDescent="0.3">
      <c r="B9" s="43" t="s">
        <v>61</v>
      </c>
      <c r="C9" s="76">
        <f>+C4-SUM(C5:C7)+C8</f>
        <v>-36099.851666666669</v>
      </c>
      <c r="D9" s="76">
        <f t="shared" ref="D9:G9" si="0">+D4-SUM(D5:D7)+D8</f>
        <v>-28477.085000000006</v>
      </c>
      <c r="E9" s="76">
        <f t="shared" si="0"/>
        <v>1522.9150000000009</v>
      </c>
      <c r="F9" s="76">
        <f t="shared" si="0"/>
        <v>5656.248333333333</v>
      </c>
      <c r="G9" s="76">
        <f t="shared" si="0"/>
        <v>12022.915000000001</v>
      </c>
      <c r="H9" s="76">
        <f t="shared" ref="H9:Z9" si="1">+H4-SUM(H5:H7)+H8</f>
        <v>12022.915000000001</v>
      </c>
      <c r="I9" s="76">
        <f t="shared" si="1"/>
        <v>5504.8583333333336</v>
      </c>
      <c r="J9" s="76">
        <f t="shared" si="1"/>
        <v>12171.525000000001</v>
      </c>
      <c r="K9" s="76">
        <f t="shared" si="1"/>
        <v>12171.525000000001</v>
      </c>
      <c r="L9" s="76">
        <f t="shared" si="1"/>
        <v>-8228.4749999999985</v>
      </c>
      <c r="M9" s="76">
        <f t="shared" si="1"/>
        <v>-8228.4749999999985</v>
      </c>
      <c r="N9" s="76">
        <f t="shared" si="1"/>
        <v>-8228.4749999999985</v>
      </c>
      <c r="O9" s="76">
        <f t="shared" si="1"/>
        <v>-22769.294999999998</v>
      </c>
      <c r="P9" s="76">
        <f t="shared" si="1"/>
        <v>-9397.9616666666698</v>
      </c>
      <c r="Q9" s="76">
        <f t="shared" si="1"/>
        <v>30602.03833333333</v>
      </c>
      <c r="R9" s="76">
        <f t="shared" si="1"/>
        <v>78388.705000000002</v>
      </c>
      <c r="S9" s="76">
        <f t="shared" si="1"/>
        <v>91322.03833333333</v>
      </c>
      <c r="T9" s="76">
        <f t="shared" si="1"/>
        <v>91322.03833333333</v>
      </c>
      <c r="U9" s="76">
        <f t="shared" si="1"/>
        <v>77988.705000000002</v>
      </c>
      <c r="V9" s="76">
        <f t="shared" si="1"/>
        <v>91322.03833333333</v>
      </c>
      <c r="W9" s="76">
        <f t="shared" si="1"/>
        <v>91322.03833333333</v>
      </c>
      <c r="X9" s="76">
        <f t="shared" si="1"/>
        <v>17402.03833333333</v>
      </c>
      <c r="Y9" s="76">
        <f t="shared" si="1"/>
        <v>17402.03833333333</v>
      </c>
      <c r="Z9" s="50">
        <f t="shared" si="1"/>
        <v>17402.03833333333</v>
      </c>
    </row>
    <row r="10" spans="2:26" s="2" customFormat="1" ht="24.75" customHeight="1" x14ac:dyDescent="0.25">
      <c r="B10" s="40" t="s">
        <v>62</v>
      </c>
      <c r="C10" s="126">
        <f>+'PREVISION DE TESORERIA Mensual '!C18+'PREVISION DE TESORERIA Mensual '!C19</f>
        <v>4133.9524999999994</v>
      </c>
      <c r="D10" s="126">
        <f>+'PREVISION DE TESORERIA Mensual '!D18+'PREVISION DE TESORERIA Mensual '!D19</f>
        <v>4133.9524999999994</v>
      </c>
      <c r="E10" s="126">
        <f>+'PREVISION DE TESORERIA Mensual '!E18+'PREVISION DE TESORERIA Mensual '!E19</f>
        <v>4133.9524999999994</v>
      </c>
      <c r="F10" s="126">
        <f>+'PREVISION DE TESORERIA Mensual '!F18+'PREVISION DE TESORERIA Mensual '!F19</f>
        <v>4133.9524999999994</v>
      </c>
      <c r="G10" s="126">
        <f>+'PREVISION DE TESORERIA Mensual '!G18+'PREVISION DE TESORERIA Mensual '!G19</f>
        <v>4133.9524999999994</v>
      </c>
      <c r="H10" s="126">
        <f>+'PREVISION DE TESORERIA Mensual '!H18+'PREVISION DE TESORERIA Mensual '!H19</f>
        <v>4133.9524999999994</v>
      </c>
      <c r="I10" s="126">
        <f>+'PREVISION DE TESORERIA Mensual '!I18+'PREVISION DE TESORERIA Mensual '!I19</f>
        <v>4133.9524999999994</v>
      </c>
      <c r="J10" s="126">
        <f>+'PREVISION DE TESORERIA Mensual '!J18+'PREVISION DE TESORERIA Mensual '!J19</f>
        <v>4133.9524999999994</v>
      </c>
      <c r="K10" s="126">
        <f>+'PREVISION DE TESORERIA Mensual '!K18+'PREVISION DE TESORERIA Mensual '!K19</f>
        <v>4133.9524999999994</v>
      </c>
      <c r="L10" s="126">
        <f>+'PREVISION DE TESORERIA Mensual '!L18+'PREVISION DE TESORERIA Mensual '!L19</f>
        <v>4133.9524999999994</v>
      </c>
      <c r="M10" s="126">
        <f>+'PREVISION DE TESORERIA Mensual '!M18+'PREVISION DE TESORERIA Mensual '!M19</f>
        <v>4133.9524999999994</v>
      </c>
      <c r="N10" s="126">
        <f>+'PREVISION DE TESORERIA Mensual '!N18+'PREVISION DE TESORERIA Mensual '!N19</f>
        <v>4133.9524999999994</v>
      </c>
      <c r="O10" s="126">
        <f>+'PREVISION DE TESORERIA Mensual '!O18+'PREVISION DE TESORERIA Mensual '!O19</f>
        <v>5580.916666666667</v>
      </c>
      <c r="P10" s="126">
        <f>+'PREVISION DE TESORERIA Mensual '!P18+'PREVISION DE TESORERIA Mensual '!P19</f>
        <v>5580.916666666667</v>
      </c>
      <c r="Q10" s="126">
        <f>+'PREVISION DE TESORERIA Mensual '!Q18+'PREVISION DE TESORERIA Mensual '!Q19</f>
        <v>5580.916666666667</v>
      </c>
      <c r="R10" s="126">
        <f>+'PREVISION DE TESORERIA Mensual '!R18+'PREVISION DE TESORERIA Mensual '!R19</f>
        <v>5580.916666666667</v>
      </c>
      <c r="S10" s="126">
        <f>+'PREVISION DE TESORERIA Mensual '!S18+'PREVISION DE TESORERIA Mensual '!S19</f>
        <v>5580.916666666667</v>
      </c>
      <c r="T10" s="126">
        <f>+'PREVISION DE TESORERIA Mensual '!T18+'PREVISION DE TESORERIA Mensual '!T19</f>
        <v>5580.916666666667</v>
      </c>
      <c r="U10" s="126">
        <f>+'PREVISION DE TESORERIA Mensual '!U18+'PREVISION DE TESORERIA Mensual '!U19</f>
        <v>5580.916666666667</v>
      </c>
      <c r="V10" s="126">
        <f>+'PREVISION DE TESORERIA Mensual '!V18+'PREVISION DE TESORERIA Mensual '!V19</f>
        <v>5580.916666666667</v>
      </c>
      <c r="W10" s="126">
        <f>+'PREVISION DE TESORERIA Mensual '!W18+'PREVISION DE TESORERIA Mensual '!W19</f>
        <v>5580.916666666667</v>
      </c>
      <c r="X10" s="126">
        <f>+'PREVISION DE TESORERIA Mensual '!X18+'PREVISION DE TESORERIA Mensual '!X19</f>
        <v>5580.916666666667</v>
      </c>
      <c r="Y10" s="126">
        <f>+'PREVISION DE TESORERIA Mensual '!Y18+'PREVISION DE TESORERIA Mensual '!Y19</f>
        <v>5580.916666666667</v>
      </c>
      <c r="Z10" s="127">
        <f>+'PREVISION DE TESORERIA Mensual '!Z18+'PREVISION DE TESORERIA Mensual '!Z19</f>
        <v>5580.916666666667</v>
      </c>
    </row>
    <row r="11" spans="2:26" s="2" customFormat="1" ht="24.75" customHeight="1" x14ac:dyDescent="0.25">
      <c r="B11" s="44" t="s">
        <v>63</v>
      </c>
      <c r="C11" s="70">
        <f>+C9-C10</f>
        <v>-40233.804166666669</v>
      </c>
      <c r="D11" s="70">
        <f t="shared" ref="D11:G11" si="2">+D9-D10</f>
        <v>-32611.037500000006</v>
      </c>
      <c r="E11" s="70">
        <f t="shared" si="2"/>
        <v>-2611.0374999999985</v>
      </c>
      <c r="F11" s="70">
        <f t="shared" si="2"/>
        <v>1522.2958333333336</v>
      </c>
      <c r="G11" s="70">
        <f t="shared" si="2"/>
        <v>7888.9625000000015</v>
      </c>
      <c r="H11" s="70">
        <f t="shared" ref="H11:Z11" si="3">+H9-H10</f>
        <v>7888.9625000000015</v>
      </c>
      <c r="I11" s="70">
        <f t="shared" si="3"/>
        <v>1370.9058333333342</v>
      </c>
      <c r="J11" s="70">
        <f t="shared" si="3"/>
        <v>8037.572500000002</v>
      </c>
      <c r="K11" s="70">
        <f t="shared" si="3"/>
        <v>8037.572500000002</v>
      </c>
      <c r="L11" s="70">
        <f t="shared" si="3"/>
        <v>-12362.427499999998</v>
      </c>
      <c r="M11" s="70">
        <f t="shared" si="3"/>
        <v>-12362.427499999998</v>
      </c>
      <c r="N11" s="70">
        <f t="shared" si="3"/>
        <v>-12362.427499999998</v>
      </c>
      <c r="O11" s="70">
        <f t="shared" si="3"/>
        <v>-28350.211666666666</v>
      </c>
      <c r="P11" s="70">
        <f t="shared" si="3"/>
        <v>-14978.878333333338</v>
      </c>
      <c r="Q11" s="70">
        <f t="shared" si="3"/>
        <v>25021.121666666662</v>
      </c>
      <c r="R11" s="70">
        <f t="shared" si="3"/>
        <v>72807.78833333333</v>
      </c>
      <c r="S11" s="70">
        <f t="shared" si="3"/>
        <v>85741.121666666659</v>
      </c>
      <c r="T11" s="70">
        <f t="shared" si="3"/>
        <v>85741.121666666659</v>
      </c>
      <c r="U11" s="70">
        <f t="shared" si="3"/>
        <v>72407.78833333333</v>
      </c>
      <c r="V11" s="70">
        <f t="shared" si="3"/>
        <v>85741.121666666659</v>
      </c>
      <c r="W11" s="70">
        <f t="shared" si="3"/>
        <v>85741.121666666659</v>
      </c>
      <c r="X11" s="70">
        <f t="shared" si="3"/>
        <v>11821.121666666662</v>
      </c>
      <c r="Y11" s="70">
        <f t="shared" si="3"/>
        <v>11821.121666666662</v>
      </c>
      <c r="Z11" s="52">
        <f t="shared" si="3"/>
        <v>11821.121666666662</v>
      </c>
    </row>
    <row r="12" spans="2:26" s="2" customFormat="1" ht="24.75" customHeight="1" x14ac:dyDescent="0.25">
      <c r="B12" s="41" t="s">
        <v>64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52"/>
    </row>
    <row r="13" spans="2:26" s="2" customFormat="1" ht="24.75" customHeight="1" thickBot="1" x14ac:dyDescent="0.3">
      <c r="B13" s="45" t="s">
        <v>65</v>
      </c>
      <c r="C13" s="77">
        <f>+C11-C12</f>
        <v>-40233.804166666669</v>
      </c>
      <c r="D13" s="77">
        <f t="shared" ref="D13:G13" si="4">+D11-D12</f>
        <v>-32611.037500000006</v>
      </c>
      <c r="E13" s="77">
        <f t="shared" si="4"/>
        <v>-2611.0374999999985</v>
      </c>
      <c r="F13" s="77">
        <f t="shared" si="4"/>
        <v>1522.2958333333336</v>
      </c>
      <c r="G13" s="77">
        <f t="shared" si="4"/>
        <v>7888.9625000000015</v>
      </c>
      <c r="H13" s="77">
        <f t="shared" ref="H13:Z13" si="5">+H11-H12</f>
        <v>7888.9625000000015</v>
      </c>
      <c r="I13" s="77">
        <f t="shared" si="5"/>
        <v>1370.9058333333342</v>
      </c>
      <c r="J13" s="77">
        <f t="shared" si="5"/>
        <v>8037.572500000002</v>
      </c>
      <c r="K13" s="77">
        <f t="shared" si="5"/>
        <v>8037.572500000002</v>
      </c>
      <c r="L13" s="77">
        <f t="shared" si="5"/>
        <v>-12362.427499999998</v>
      </c>
      <c r="M13" s="77">
        <f t="shared" si="5"/>
        <v>-12362.427499999998</v>
      </c>
      <c r="N13" s="77">
        <f t="shared" si="5"/>
        <v>-12362.427499999998</v>
      </c>
      <c r="O13" s="77">
        <f t="shared" si="5"/>
        <v>-28350.211666666666</v>
      </c>
      <c r="P13" s="77">
        <f t="shared" si="5"/>
        <v>-14978.878333333338</v>
      </c>
      <c r="Q13" s="77">
        <f t="shared" si="5"/>
        <v>25021.121666666662</v>
      </c>
      <c r="R13" s="77">
        <f t="shared" si="5"/>
        <v>72807.78833333333</v>
      </c>
      <c r="S13" s="77">
        <f t="shared" si="5"/>
        <v>85741.121666666659</v>
      </c>
      <c r="T13" s="77">
        <f t="shared" si="5"/>
        <v>85741.121666666659</v>
      </c>
      <c r="U13" s="77">
        <f t="shared" si="5"/>
        <v>72407.78833333333</v>
      </c>
      <c r="V13" s="77">
        <f t="shared" si="5"/>
        <v>85741.121666666659</v>
      </c>
      <c r="W13" s="77">
        <f t="shared" si="5"/>
        <v>85741.121666666659</v>
      </c>
      <c r="X13" s="77">
        <f t="shared" si="5"/>
        <v>11821.121666666662</v>
      </c>
      <c r="Y13" s="77">
        <f t="shared" si="5"/>
        <v>11821.121666666662</v>
      </c>
      <c r="Z13" s="54">
        <f t="shared" si="5"/>
        <v>11821.121666666662</v>
      </c>
    </row>
    <row r="14" spans="2:26" s="2" customFormat="1" ht="24.75" customHeight="1" x14ac:dyDescent="0.25">
      <c r="B14" s="40" t="s">
        <v>85</v>
      </c>
      <c r="C14" s="126">
        <f>+IF(C13&gt;0,C13*25%,0)</f>
        <v>0</v>
      </c>
      <c r="D14" s="126">
        <f t="shared" ref="D14:G14" si="6">+IF(D13&gt;0,D13*25%,0)</f>
        <v>0</v>
      </c>
      <c r="E14" s="126">
        <f t="shared" si="6"/>
        <v>0</v>
      </c>
      <c r="F14" s="126">
        <f t="shared" si="6"/>
        <v>380.57395833333339</v>
      </c>
      <c r="G14" s="126">
        <f t="shared" si="6"/>
        <v>1972.2406250000004</v>
      </c>
      <c r="H14" s="126">
        <f t="shared" ref="H14:Z14" si="7">+IF(H13&gt;0,H13*25%,0)</f>
        <v>1972.2406250000004</v>
      </c>
      <c r="I14" s="126">
        <f t="shared" si="7"/>
        <v>342.72645833333354</v>
      </c>
      <c r="J14" s="126">
        <f t="shared" si="7"/>
        <v>2009.3931250000005</v>
      </c>
      <c r="K14" s="126">
        <f t="shared" si="7"/>
        <v>2009.3931250000005</v>
      </c>
      <c r="L14" s="126">
        <f t="shared" si="7"/>
        <v>0</v>
      </c>
      <c r="M14" s="126">
        <f t="shared" si="7"/>
        <v>0</v>
      </c>
      <c r="N14" s="126">
        <f t="shared" si="7"/>
        <v>0</v>
      </c>
      <c r="O14" s="126">
        <f t="shared" si="7"/>
        <v>0</v>
      </c>
      <c r="P14" s="126">
        <f t="shared" si="7"/>
        <v>0</v>
      </c>
      <c r="Q14" s="126">
        <f t="shared" si="7"/>
        <v>6255.2804166666656</v>
      </c>
      <c r="R14" s="126">
        <f t="shared" si="7"/>
        <v>18201.947083333333</v>
      </c>
      <c r="S14" s="126">
        <f t="shared" si="7"/>
        <v>21435.280416666665</v>
      </c>
      <c r="T14" s="126">
        <f t="shared" si="7"/>
        <v>21435.280416666665</v>
      </c>
      <c r="U14" s="126">
        <f t="shared" si="7"/>
        <v>18101.947083333333</v>
      </c>
      <c r="V14" s="126">
        <f t="shared" si="7"/>
        <v>21435.280416666665</v>
      </c>
      <c r="W14" s="126">
        <f t="shared" si="7"/>
        <v>21435.280416666665</v>
      </c>
      <c r="X14" s="126">
        <f t="shared" si="7"/>
        <v>2955.2804166666656</v>
      </c>
      <c r="Y14" s="126">
        <f t="shared" si="7"/>
        <v>2955.2804166666656</v>
      </c>
      <c r="Z14" s="127">
        <f t="shared" si="7"/>
        <v>2955.2804166666656</v>
      </c>
    </row>
    <row r="15" spans="2:26" s="2" customFormat="1" ht="24.75" customHeight="1" thickBot="1" x14ac:dyDescent="0.3">
      <c r="B15" s="42" t="s">
        <v>66</v>
      </c>
      <c r="C15" s="71">
        <v>0.25</v>
      </c>
      <c r="D15" s="71">
        <v>0.25</v>
      </c>
      <c r="E15" s="71">
        <v>0.25</v>
      </c>
      <c r="F15" s="71">
        <v>0.25</v>
      </c>
      <c r="G15" s="71">
        <v>0.25</v>
      </c>
      <c r="H15" s="71">
        <v>0.25</v>
      </c>
      <c r="I15" s="71">
        <v>0.25</v>
      </c>
      <c r="J15" s="71">
        <v>0.25</v>
      </c>
      <c r="K15" s="71">
        <v>0.25</v>
      </c>
      <c r="L15" s="71">
        <v>0.25</v>
      </c>
      <c r="M15" s="71">
        <v>0.25</v>
      </c>
      <c r="N15" s="71">
        <v>0.25</v>
      </c>
      <c r="O15" s="71">
        <v>0.25</v>
      </c>
      <c r="P15" s="71">
        <v>0.25</v>
      </c>
      <c r="Q15" s="71">
        <v>0.25</v>
      </c>
      <c r="R15" s="71">
        <v>0.25</v>
      </c>
      <c r="S15" s="71">
        <v>0.25</v>
      </c>
      <c r="T15" s="71">
        <v>0.25</v>
      </c>
      <c r="U15" s="71">
        <v>0.25</v>
      </c>
      <c r="V15" s="71">
        <v>0.25</v>
      </c>
      <c r="W15" s="71">
        <v>0.25</v>
      </c>
      <c r="X15" s="71">
        <v>0.25</v>
      </c>
      <c r="Y15" s="71">
        <v>0.25</v>
      </c>
      <c r="Z15" s="72">
        <v>0.25</v>
      </c>
    </row>
    <row r="16" spans="2:26" s="2" customFormat="1" ht="24.75" customHeight="1" thickBot="1" x14ac:dyDescent="0.3">
      <c r="B16" s="43" t="s">
        <v>67</v>
      </c>
      <c r="C16" s="76">
        <f>+C13-C14</f>
        <v>-40233.804166666669</v>
      </c>
      <c r="D16" s="76">
        <f t="shared" ref="D16:G16" si="8">+D13-D14</f>
        <v>-32611.037500000006</v>
      </c>
      <c r="E16" s="76">
        <f t="shared" si="8"/>
        <v>-2611.0374999999985</v>
      </c>
      <c r="F16" s="76">
        <f t="shared" si="8"/>
        <v>1141.7218750000002</v>
      </c>
      <c r="G16" s="76">
        <f t="shared" si="8"/>
        <v>5916.7218750000011</v>
      </c>
      <c r="H16" s="76">
        <f t="shared" ref="H16:Z16" si="9">+H13-H14</f>
        <v>5916.7218750000011</v>
      </c>
      <c r="I16" s="76">
        <f t="shared" si="9"/>
        <v>1028.1793750000006</v>
      </c>
      <c r="J16" s="76">
        <f t="shared" si="9"/>
        <v>6028.1793750000015</v>
      </c>
      <c r="K16" s="76">
        <f t="shared" si="9"/>
        <v>6028.1793750000015</v>
      </c>
      <c r="L16" s="76">
        <f t="shared" si="9"/>
        <v>-12362.427499999998</v>
      </c>
      <c r="M16" s="76">
        <f t="shared" si="9"/>
        <v>-12362.427499999998</v>
      </c>
      <c r="N16" s="76">
        <f t="shared" si="9"/>
        <v>-12362.427499999998</v>
      </c>
      <c r="O16" s="76">
        <f t="shared" si="9"/>
        <v>-28350.211666666666</v>
      </c>
      <c r="P16" s="76">
        <f t="shared" si="9"/>
        <v>-14978.878333333338</v>
      </c>
      <c r="Q16" s="76">
        <f t="shared" si="9"/>
        <v>18765.841249999998</v>
      </c>
      <c r="R16" s="76">
        <f t="shared" si="9"/>
        <v>54605.841249999998</v>
      </c>
      <c r="S16" s="76">
        <f t="shared" si="9"/>
        <v>64305.841249999998</v>
      </c>
      <c r="T16" s="76">
        <f t="shared" si="9"/>
        <v>64305.841249999998</v>
      </c>
      <c r="U16" s="76">
        <f t="shared" si="9"/>
        <v>54305.841249999998</v>
      </c>
      <c r="V16" s="76">
        <f t="shared" si="9"/>
        <v>64305.841249999998</v>
      </c>
      <c r="W16" s="76">
        <f t="shared" si="9"/>
        <v>64305.841249999998</v>
      </c>
      <c r="X16" s="76">
        <f t="shared" si="9"/>
        <v>8865.8412499999977</v>
      </c>
      <c r="Y16" s="76">
        <f t="shared" si="9"/>
        <v>8865.8412499999977</v>
      </c>
      <c r="Z16" s="50">
        <f t="shared" si="9"/>
        <v>8865.8412499999977</v>
      </c>
    </row>
    <row r="17" spans="2:26" s="2" customFormat="1" ht="24.75" customHeight="1" thickBot="1" x14ac:dyDescent="0.3">
      <c r="B17" s="43" t="s">
        <v>68</v>
      </c>
      <c r="C17" s="76">
        <f>+C9</f>
        <v>-36099.851666666669</v>
      </c>
      <c r="D17" s="76">
        <f t="shared" ref="D17:G17" si="10">+D9</f>
        <v>-28477.085000000006</v>
      </c>
      <c r="E17" s="76">
        <f t="shared" si="10"/>
        <v>1522.9150000000009</v>
      </c>
      <c r="F17" s="76">
        <f t="shared" si="10"/>
        <v>5656.248333333333</v>
      </c>
      <c r="G17" s="76">
        <f t="shared" si="10"/>
        <v>12022.915000000001</v>
      </c>
      <c r="H17" s="76">
        <f t="shared" ref="H17:Z17" si="11">+H9</f>
        <v>12022.915000000001</v>
      </c>
      <c r="I17" s="76">
        <f t="shared" si="11"/>
        <v>5504.8583333333336</v>
      </c>
      <c r="J17" s="76">
        <f t="shared" si="11"/>
        <v>12171.525000000001</v>
      </c>
      <c r="K17" s="76">
        <f t="shared" si="11"/>
        <v>12171.525000000001</v>
      </c>
      <c r="L17" s="76">
        <f t="shared" si="11"/>
        <v>-8228.4749999999985</v>
      </c>
      <c r="M17" s="76">
        <f t="shared" si="11"/>
        <v>-8228.4749999999985</v>
      </c>
      <c r="N17" s="76">
        <f t="shared" si="11"/>
        <v>-8228.4749999999985</v>
      </c>
      <c r="O17" s="76">
        <f t="shared" si="11"/>
        <v>-22769.294999999998</v>
      </c>
      <c r="P17" s="76">
        <f t="shared" si="11"/>
        <v>-9397.9616666666698</v>
      </c>
      <c r="Q17" s="76">
        <f t="shared" si="11"/>
        <v>30602.03833333333</v>
      </c>
      <c r="R17" s="76">
        <f t="shared" si="11"/>
        <v>78388.705000000002</v>
      </c>
      <c r="S17" s="76">
        <f t="shared" si="11"/>
        <v>91322.03833333333</v>
      </c>
      <c r="T17" s="76">
        <f t="shared" si="11"/>
        <v>91322.03833333333</v>
      </c>
      <c r="U17" s="76">
        <f t="shared" si="11"/>
        <v>77988.705000000002</v>
      </c>
      <c r="V17" s="76">
        <f t="shared" si="11"/>
        <v>91322.03833333333</v>
      </c>
      <c r="W17" s="76">
        <f t="shared" si="11"/>
        <v>91322.03833333333</v>
      </c>
      <c r="X17" s="76">
        <f t="shared" si="11"/>
        <v>17402.03833333333</v>
      </c>
      <c r="Y17" s="76">
        <f t="shared" si="11"/>
        <v>17402.03833333333</v>
      </c>
      <c r="Z17" s="50">
        <f t="shared" si="11"/>
        <v>17402.03833333333</v>
      </c>
    </row>
  </sheetData>
  <pageMargins left="0.7" right="0.7" top="0.75" bottom="0.75" header="0.3" footer="0.3"/>
  <ignoredErrors>
    <ignoredError sqref="G6:Z6 C6:F6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6"/>
  <sheetViews>
    <sheetView showGridLines="0" workbookViewId="0">
      <selection activeCell="F16" sqref="F16"/>
    </sheetView>
  </sheetViews>
  <sheetFormatPr baseColWidth="10" defaultRowHeight="14.4" x14ac:dyDescent="0.3"/>
  <cols>
    <col min="1" max="1" width="2" customWidth="1"/>
    <col min="2" max="2" width="29.5546875" customWidth="1"/>
    <col min="3" max="3" width="14.88671875" customWidth="1"/>
    <col min="4" max="4" width="16.5546875" bestFit="1" customWidth="1"/>
  </cols>
  <sheetData>
    <row r="1" spans="2:4" ht="21" x14ac:dyDescent="0.25">
      <c r="B1" s="3"/>
    </row>
    <row r="2" spans="2:4" ht="9.75" customHeight="1" thickBot="1" x14ac:dyDescent="0.3"/>
    <row r="3" spans="2:4" s="2" customFormat="1" ht="24.75" customHeight="1" thickBot="1" x14ac:dyDescent="0.3">
      <c r="C3" s="78">
        <v>2020</v>
      </c>
      <c r="D3" s="136">
        <v>2021</v>
      </c>
    </row>
    <row r="4" spans="2:4" s="2" customFormat="1" ht="24.75" customHeight="1" x14ac:dyDescent="0.25">
      <c r="B4" s="40" t="s">
        <v>57</v>
      </c>
      <c r="C4" s="46">
        <f>+SUM('PyG Mensual'!C4:N4)</f>
        <v>306000</v>
      </c>
      <c r="D4" s="137">
        <f>+SUM('PyG Mensual'!O4:Z4)</f>
        <v>1108800</v>
      </c>
    </row>
    <row r="5" spans="2:4" s="2" customFormat="1" ht="24.75" customHeight="1" x14ac:dyDescent="0.25">
      <c r="B5" s="41" t="s">
        <v>58</v>
      </c>
      <c r="C5" s="47">
        <f>+SUM('PyG Mensual'!C5:N5)</f>
        <v>157094.73000000001</v>
      </c>
      <c r="D5" s="138">
        <f>+SUM('PyG Mensual'!O5:Z5)</f>
        <v>243246.77</v>
      </c>
    </row>
    <row r="6" spans="2:4" s="2" customFormat="1" ht="24.75" customHeight="1" x14ac:dyDescent="0.25">
      <c r="B6" s="41" t="s">
        <v>22</v>
      </c>
      <c r="C6" s="47">
        <f>+SUM('PyG Mensual'!C6:N6)</f>
        <v>49999.999999999993</v>
      </c>
      <c r="D6" s="138">
        <f>+SUM('PyG Mensual'!O6:Z6)</f>
        <v>90000</v>
      </c>
    </row>
    <row r="7" spans="2:4" s="2" customFormat="1" ht="24.75" customHeight="1" x14ac:dyDescent="0.3">
      <c r="B7" s="41" t="s">
        <v>59</v>
      </c>
      <c r="C7" s="47">
        <f>+SUM('PyG Mensual'!C7:N7)</f>
        <v>157094.73000000001</v>
      </c>
      <c r="D7" s="138">
        <f>+SUM('PyG Mensual'!O7:Z7)</f>
        <v>243246.77</v>
      </c>
    </row>
    <row r="8" spans="2:4" s="2" customFormat="1" ht="24.75" customHeight="1" thickBot="1" x14ac:dyDescent="0.3">
      <c r="B8" s="42" t="s">
        <v>60</v>
      </c>
      <c r="C8" s="73">
        <f>+SUM('PyG Mensual'!C8:N8)</f>
        <v>30000</v>
      </c>
      <c r="D8" s="139">
        <f>+SUM('PyG Mensual'!O8:Z8)</f>
        <v>40000</v>
      </c>
    </row>
    <row r="9" spans="2:4" s="2" customFormat="1" ht="24.75" customHeight="1" thickBot="1" x14ac:dyDescent="0.3">
      <c r="B9" s="43" t="s">
        <v>61</v>
      </c>
      <c r="C9" s="49">
        <f>+SUM('PyG Mensual'!C9:N9)</f>
        <v>-28189.460000000003</v>
      </c>
      <c r="D9" s="140">
        <f>+SUM('PyG Mensual'!O9:Z9)</f>
        <v>572306.46</v>
      </c>
    </row>
    <row r="10" spans="2:4" s="2" customFormat="1" ht="24.75" customHeight="1" x14ac:dyDescent="0.25">
      <c r="B10" s="40" t="s">
        <v>62</v>
      </c>
      <c r="C10" s="55">
        <f>+SUM('PyG Mensual'!C10:N10)</f>
        <v>49607.429999999993</v>
      </c>
      <c r="D10" s="141">
        <f>+SUM('PyG Mensual'!O10:Z10)</f>
        <v>66970.999999999985</v>
      </c>
    </row>
    <row r="11" spans="2:4" s="2" customFormat="1" ht="24.75" customHeight="1" x14ac:dyDescent="0.25">
      <c r="B11" s="44" t="s">
        <v>63</v>
      </c>
      <c r="C11" s="51">
        <f>+SUM('PyG Mensual'!C11:N11)</f>
        <v>-77796.890000000014</v>
      </c>
      <c r="D11" s="142">
        <f>+SUM('PyG Mensual'!O11:Z11)</f>
        <v>505335.45999999985</v>
      </c>
    </row>
    <row r="12" spans="2:4" s="2" customFormat="1" ht="24.75" customHeight="1" x14ac:dyDescent="0.25">
      <c r="B12" s="41" t="s">
        <v>64</v>
      </c>
      <c r="C12" s="51">
        <f>+SUM('PyG Mensual'!C12:N12)</f>
        <v>0</v>
      </c>
      <c r="D12" s="142">
        <f>+SUM('PyG Mensual'!O12:Z12)</f>
        <v>0</v>
      </c>
    </row>
    <row r="13" spans="2:4" s="2" customFormat="1" ht="24.75" customHeight="1" thickBot="1" x14ac:dyDescent="0.3">
      <c r="B13" s="45" t="s">
        <v>65</v>
      </c>
      <c r="C13" s="53">
        <f>+SUM('PyG Mensual'!C13:N13)</f>
        <v>-77796.890000000014</v>
      </c>
      <c r="D13" s="143">
        <f>+SUM('PyG Mensual'!O13:Z13)</f>
        <v>505335.45999999985</v>
      </c>
    </row>
    <row r="14" spans="2:4" s="2" customFormat="1" ht="24.75" customHeight="1" x14ac:dyDescent="0.25">
      <c r="B14" s="40" t="s">
        <v>85</v>
      </c>
      <c r="C14" s="55">
        <f>+SUM('PyG Mensual'!C14:N14)</f>
        <v>8686.5679166666687</v>
      </c>
      <c r="D14" s="141">
        <f>+SUM('PyG Mensual'!O14:Z14)</f>
        <v>137166.13750000001</v>
      </c>
    </row>
    <row r="15" spans="2:4" s="2" customFormat="1" ht="24.75" customHeight="1" thickBot="1" x14ac:dyDescent="0.3">
      <c r="B15" s="42" t="s">
        <v>66</v>
      </c>
      <c r="C15" s="71">
        <v>0.25</v>
      </c>
      <c r="D15" s="144">
        <v>0.25</v>
      </c>
    </row>
    <row r="16" spans="2:4" s="2" customFormat="1" ht="24.75" customHeight="1" thickBot="1" x14ac:dyDescent="0.3">
      <c r="B16" s="43" t="s">
        <v>67</v>
      </c>
      <c r="C16" s="76">
        <f>+SUM('PyG Mensual'!C16:N16)</f>
        <v>-86483.457916666666</v>
      </c>
      <c r="D16" s="140">
        <f>+SUM('PyG Mensual'!O16:Z16)</f>
        <v>368169.32250000001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workbookViewId="0">
      <selection activeCell="A6" sqref="A6"/>
    </sheetView>
  </sheetViews>
  <sheetFormatPr baseColWidth="10" defaultRowHeight="14.4" x14ac:dyDescent="0.3"/>
  <cols>
    <col min="1" max="1" width="11.88671875" bestFit="1" customWidth="1"/>
    <col min="14" max="16" width="12.88671875" bestFit="1" customWidth="1"/>
  </cols>
  <sheetData>
    <row r="1" spans="1:25" ht="15.75" thickBot="1" x14ac:dyDescent="0.3"/>
    <row r="2" spans="1:25" ht="15.75" thickBot="1" x14ac:dyDescent="0.3">
      <c r="B2" s="124" t="s">
        <v>77</v>
      </c>
      <c r="C2" s="125" t="s">
        <v>78</v>
      </c>
      <c r="D2" s="125" t="s">
        <v>79</v>
      </c>
      <c r="E2" s="125" t="s">
        <v>80</v>
      </c>
      <c r="F2" s="125" t="s">
        <v>69</v>
      </c>
      <c r="G2" s="125" t="s">
        <v>70</v>
      </c>
      <c r="H2" s="125" t="s">
        <v>71</v>
      </c>
      <c r="I2" s="125" t="s">
        <v>72</v>
      </c>
      <c r="J2" s="125" t="s">
        <v>73</v>
      </c>
      <c r="K2" s="125" t="s">
        <v>74</v>
      </c>
      <c r="L2" s="125" t="s">
        <v>75</v>
      </c>
      <c r="M2" s="125" t="s">
        <v>76</v>
      </c>
      <c r="N2" s="125" t="s">
        <v>77</v>
      </c>
      <c r="O2" s="125" t="s">
        <v>78</v>
      </c>
      <c r="P2" s="125" t="s">
        <v>79</v>
      </c>
      <c r="Q2" s="125" t="s">
        <v>80</v>
      </c>
      <c r="R2" s="125" t="s">
        <v>69</v>
      </c>
      <c r="S2" s="125" t="s">
        <v>70</v>
      </c>
      <c r="T2" s="125" t="s">
        <v>71</v>
      </c>
      <c r="U2" s="125" t="s">
        <v>72</v>
      </c>
      <c r="V2" s="125" t="s">
        <v>73</v>
      </c>
      <c r="W2" s="125" t="s">
        <v>74</v>
      </c>
      <c r="X2" s="125" t="s">
        <v>75</v>
      </c>
      <c r="Y2" s="129" t="s">
        <v>76</v>
      </c>
    </row>
    <row r="3" spans="1:25" ht="18.75" customHeight="1" thickBot="1" x14ac:dyDescent="0.3">
      <c r="A3" s="130" t="s">
        <v>86</v>
      </c>
      <c r="B3" s="134">
        <f>+$B$8*33%</f>
        <v>9900</v>
      </c>
      <c r="C3" s="135">
        <f t="shared" ref="C3:D3" si="0">+$B$8*33%</f>
        <v>9900</v>
      </c>
      <c r="D3" s="135">
        <f t="shared" si="0"/>
        <v>9900</v>
      </c>
      <c r="E3" s="135">
        <f>+B8-SUM(B3:D3)</f>
        <v>300</v>
      </c>
      <c r="F3" s="135"/>
      <c r="G3" s="135"/>
      <c r="H3" s="135"/>
      <c r="I3" s="135"/>
      <c r="J3" s="135"/>
      <c r="K3" s="135"/>
      <c r="L3" s="135"/>
      <c r="M3" s="135"/>
      <c r="N3" s="135">
        <f>+$C$8*33%</f>
        <v>13200</v>
      </c>
      <c r="O3" s="135">
        <f t="shared" ref="O3:P3" si="1">+$C$8*33%</f>
        <v>13200</v>
      </c>
      <c r="P3" s="135">
        <f t="shared" si="1"/>
        <v>13200</v>
      </c>
      <c r="Q3" s="135">
        <f>+C8-SUM(N3:P3)</f>
        <v>400</v>
      </c>
      <c r="R3" s="135"/>
      <c r="S3" s="135"/>
      <c r="T3" s="135"/>
      <c r="U3" s="135"/>
      <c r="V3" s="135"/>
      <c r="W3" s="135"/>
      <c r="X3" s="135"/>
      <c r="Y3" s="135"/>
    </row>
    <row r="4" spans="1:25" ht="24.75" customHeight="1" x14ac:dyDescent="0.25"/>
    <row r="8" spans="1:25" ht="15" hidden="1" x14ac:dyDescent="0.25">
      <c r="B8">
        <v>30000</v>
      </c>
      <c r="C8">
        <v>40000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RESUMEN EJECUTIVO</vt:lpstr>
      <vt:lpstr>PREVISION DE VENTAS </vt:lpstr>
      <vt:lpstr>GASTOS DE EXPLOTACION</vt:lpstr>
      <vt:lpstr>PREVISION DE TESORERIA Mensual </vt:lpstr>
      <vt:lpstr>PyG Mensual</vt:lpstr>
      <vt:lpstr>PyG Anual</vt:lpstr>
      <vt:lpstr>Amortizaciones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Camilo</dc:creator>
  <cp:lastModifiedBy>camil</cp:lastModifiedBy>
  <dcterms:created xsi:type="dcterms:W3CDTF">2017-05-29T20:02:24Z</dcterms:created>
  <dcterms:modified xsi:type="dcterms:W3CDTF">2022-07-27T14:39:02Z</dcterms:modified>
</cp:coreProperties>
</file>